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105" yWindow="-105" windowWidth="23250" windowHeight="12570"/>
  </bookViews>
  <sheets>
    <sheet name="Sheet1" sheetId="1" r:id="rId1"/>
    <sheet name="Sheet2" sheetId="2" r:id="rId2"/>
    <sheet name="Sheet3" sheetId="3" r:id="rId3"/>
  </sheets>
  <calcPr calcId="14562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02" i="1" l="1"/>
  <c r="L202" i="1"/>
  <c r="K202" i="1"/>
  <c r="S201" i="1"/>
  <c r="R201" i="1"/>
  <c r="Q201" i="1"/>
  <c r="M201" i="1"/>
  <c r="L201" i="1"/>
  <c r="K201" i="1"/>
  <c r="J201" i="1"/>
  <c r="P198" i="1"/>
  <c r="N198" i="1"/>
  <c r="P197" i="1"/>
  <c r="N197" i="1"/>
  <c r="P195" i="1"/>
  <c r="N195" i="1"/>
  <c r="P194" i="1"/>
  <c r="N194" i="1"/>
  <c r="P192" i="1"/>
  <c r="N192" i="1"/>
  <c r="N191" i="1"/>
  <c r="P191" i="1"/>
  <c r="K157" i="1"/>
  <c r="K158" i="1"/>
  <c r="K159" i="1"/>
  <c r="K160" i="1"/>
  <c r="L157" i="1"/>
  <c r="L158" i="1"/>
  <c r="L159" i="1"/>
  <c r="L160" i="1"/>
  <c r="M157" i="1"/>
  <c r="M158" i="1"/>
  <c r="M159" i="1"/>
  <c r="M160" i="1"/>
  <c r="N157" i="1"/>
  <c r="N158" i="1"/>
  <c r="N159" i="1"/>
  <c r="N160" i="1"/>
  <c r="T158" i="1"/>
  <c r="T159" i="1"/>
  <c r="T160" i="1"/>
  <c r="T157" i="1"/>
  <c r="S158" i="1"/>
  <c r="S159" i="1"/>
  <c r="S160" i="1"/>
  <c r="S157" i="1"/>
  <c r="R158" i="1"/>
  <c r="R159" i="1"/>
  <c r="R160" i="1"/>
  <c r="R157" i="1"/>
  <c r="Q40" i="1"/>
  <c r="Q158" i="1" s="1"/>
  <c r="Q50" i="1"/>
  <c r="Q159" i="1" s="1"/>
  <c r="Q64" i="1"/>
  <c r="Q160" i="1" s="1"/>
  <c r="Q39" i="1"/>
  <c r="Q157" i="1" s="1"/>
  <c r="O40" i="1"/>
  <c r="O158" i="1" s="1"/>
  <c r="O50" i="1"/>
  <c r="O159" i="1" s="1"/>
  <c r="O64" i="1"/>
  <c r="O160" i="1" s="1"/>
  <c r="O39" i="1"/>
  <c r="K128" i="1"/>
  <c r="K129" i="1"/>
  <c r="K130" i="1"/>
  <c r="K131" i="1"/>
  <c r="K134" i="1"/>
  <c r="K135" i="1"/>
  <c r="K136" i="1"/>
  <c r="L128" i="1"/>
  <c r="L129" i="1"/>
  <c r="L130" i="1"/>
  <c r="L131" i="1"/>
  <c r="L134" i="1"/>
  <c r="L135" i="1"/>
  <c r="L136" i="1"/>
  <c r="M128" i="1"/>
  <c r="M129" i="1"/>
  <c r="M130" i="1"/>
  <c r="M131" i="1"/>
  <c r="M134" i="1"/>
  <c r="M135" i="1"/>
  <c r="M136" i="1"/>
  <c r="N128" i="1"/>
  <c r="N129" i="1"/>
  <c r="N130" i="1"/>
  <c r="N131" i="1"/>
  <c r="N134" i="1"/>
  <c r="N135" i="1"/>
  <c r="N136" i="1"/>
  <c r="J135" i="1"/>
  <c r="O74" i="1"/>
  <c r="O135" i="1" s="1"/>
  <c r="Q74" i="1"/>
  <c r="R135" i="1"/>
  <c r="S135" i="1"/>
  <c r="T135" i="1"/>
  <c r="J136" i="1"/>
  <c r="O75" i="1"/>
  <c r="O136" i="1" s="1"/>
  <c r="Q75" i="1"/>
  <c r="R136" i="1"/>
  <c r="S136" i="1"/>
  <c r="T136" i="1"/>
  <c r="T134" i="1"/>
  <c r="S134" i="1"/>
  <c r="R134" i="1"/>
  <c r="Q73" i="1"/>
  <c r="Q134" i="1" s="1"/>
  <c r="O73" i="1"/>
  <c r="O134" i="1" s="1"/>
  <c r="O49" i="1"/>
  <c r="O128" i="1" s="1"/>
  <c r="O51" i="1"/>
  <c r="O129" i="1" s="1"/>
  <c r="O63" i="1"/>
  <c r="O130" i="1" s="1"/>
  <c r="O65" i="1"/>
  <c r="O131" i="1" s="1"/>
  <c r="Q49" i="1"/>
  <c r="Q51" i="1"/>
  <c r="Q129" i="1" s="1"/>
  <c r="Q63" i="1"/>
  <c r="Q65" i="1"/>
  <c r="R128" i="1"/>
  <c r="R129" i="1"/>
  <c r="R130" i="1"/>
  <c r="R131" i="1"/>
  <c r="T128" i="1"/>
  <c r="T129" i="1"/>
  <c r="T130" i="1"/>
  <c r="T131" i="1"/>
  <c r="S128" i="1"/>
  <c r="S129" i="1"/>
  <c r="S130" i="1"/>
  <c r="S131" i="1"/>
  <c r="K112" i="1"/>
  <c r="K113" i="1"/>
  <c r="K114" i="1"/>
  <c r="K115" i="1"/>
  <c r="K116" i="1"/>
  <c r="K117" i="1"/>
  <c r="K118" i="1"/>
  <c r="L112" i="1"/>
  <c r="L113" i="1"/>
  <c r="L114" i="1"/>
  <c r="L115" i="1"/>
  <c r="L116" i="1"/>
  <c r="L117" i="1"/>
  <c r="L118" i="1"/>
  <c r="M112" i="1"/>
  <c r="M113" i="1"/>
  <c r="M114" i="1"/>
  <c r="M115" i="1"/>
  <c r="M116" i="1"/>
  <c r="M117" i="1"/>
  <c r="M118" i="1"/>
  <c r="N112" i="1"/>
  <c r="N113" i="1"/>
  <c r="N114" i="1"/>
  <c r="N115" i="1"/>
  <c r="N116" i="1"/>
  <c r="N117" i="1"/>
  <c r="N118" i="1"/>
  <c r="O38" i="1"/>
  <c r="O113" i="1" s="1"/>
  <c r="Q38" i="1"/>
  <c r="R113" i="1"/>
  <c r="S113" i="1"/>
  <c r="T113" i="1"/>
  <c r="O41" i="1"/>
  <c r="O114" i="1" s="1"/>
  <c r="Q41" i="1"/>
  <c r="Q114" i="1" s="1"/>
  <c r="R114" i="1"/>
  <c r="S114" i="1"/>
  <c r="T114" i="1"/>
  <c r="O47" i="1"/>
  <c r="O115" i="1" s="1"/>
  <c r="Q47" i="1"/>
  <c r="Q115" i="1" s="1"/>
  <c r="R115" i="1"/>
  <c r="S115" i="1"/>
  <c r="T115" i="1"/>
  <c r="O48" i="1"/>
  <c r="O116" i="1" s="1"/>
  <c r="Q48" i="1"/>
  <c r="Q116" i="1" s="1"/>
  <c r="R116" i="1"/>
  <c r="S116" i="1"/>
  <c r="T116" i="1"/>
  <c r="O61" i="1"/>
  <c r="O117" i="1" s="1"/>
  <c r="Q61" i="1"/>
  <c r="R117" i="1"/>
  <c r="S117" i="1"/>
  <c r="T117" i="1"/>
  <c r="O62" i="1"/>
  <c r="O118" i="1" s="1"/>
  <c r="Q62" i="1"/>
  <c r="R118" i="1"/>
  <c r="S118" i="1"/>
  <c r="T118" i="1"/>
  <c r="T112" i="1"/>
  <c r="S112" i="1"/>
  <c r="R112" i="1"/>
  <c r="Q37" i="1"/>
  <c r="Q112" i="1" s="1"/>
  <c r="O37" i="1"/>
  <c r="O112" i="1" s="1"/>
  <c r="O90" i="1"/>
  <c r="O95" i="1"/>
  <c r="O99" i="1"/>
  <c r="O100" i="1"/>
  <c r="O101" i="1"/>
  <c r="O96" i="1"/>
  <c r="O97" i="1"/>
  <c r="K103" i="1"/>
  <c r="K102" i="1"/>
  <c r="O92" i="1"/>
  <c r="O93" i="1"/>
  <c r="O91" i="1"/>
  <c r="K76" i="1"/>
  <c r="N66" i="1"/>
  <c r="M66" i="1"/>
  <c r="L66" i="1"/>
  <c r="K66" i="1"/>
  <c r="N52" i="1"/>
  <c r="M52" i="1"/>
  <c r="L52" i="1"/>
  <c r="K52" i="1"/>
  <c r="K42" i="1"/>
  <c r="T102" i="1"/>
  <c r="S102" i="1"/>
  <c r="R102" i="1"/>
  <c r="N103" i="1"/>
  <c r="M103" i="1"/>
  <c r="L103" i="1"/>
  <c r="N102" i="1"/>
  <c r="M102" i="1"/>
  <c r="L102" i="1"/>
  <c r="J102" i="1"/>
  <c r="J160" i="1"/>
  <c r="A160" i="1"/>
  <c r="J159" i="1"/>
  <c r="A159" i="1"/>
  <c r="J158" i="1"/>
  <c r="A158" i="1"/>
  <c r="J157" i="1"/>
  <c r="A157" i="1"/>
  <c r="A136" i="1"/>
  <c r="A135" i="1"/>
  <c r="J134" i="1"/>
  <c r="A134" i="1"/>
  <c r="J131" i="1"/>
  <c r="A131" i="1"/>
  <c r="J130" i="1"/>
  <c r="A130" i="1"/>
  <c r="J129" i="1"/>
  <c r="A129" i="1"/>
  <c r="J128" i="1"/>
  <c r="A128" i="1"/>
  <c r="J118" i="1"/>
  <c r="A118" i="1"/>
  <c r="J117" i="1"/>
  <c r="A117" i="1"/>
  <c r="J116" i="1"/>
  <c r="A116" i="1"/>
  <c r="J115" i="1"/>
  <c r="A115" i="1"/>
  <c r="J114" i="1"/>
  <c r="A114" i="1"/>
  <c r="J113" i="1"/>
  <c r="A113" i="1"/>
  <c r="J112" i="1"/>
  <c r="A112" i="1"/>
  <c r="Q101" i="1"/>
  <c r="Q100" i="1"/>
  <c r="Q99" i="1"/>
  <c r="Q97" i="1"/>
  <c r="Q96" i="1"/>
  <c r="Q95" i="1"/>
  <c r="Q93" i="1"/>
  <c r="Q92" i="1"/>
  <c r="P92" i="1" s="1"/>
  <c r="Q91" i="1"/>
  <c r="Q90" i="1"/>
  <c r="U76" i="1"/>
  <c r="T76" i="1"/>
  <c r="S76" i="1"/>
  <c r="R76" i="1"/>
  <c r="N76" i="1"/>
  <c r="M76" i="1"/>
  <c r="L76" i="1"/>
  <c r="J76" i="1"/>
  <c r="U66" i="1"/>
  <c r="T66" i="1"/>
  <c r="S66" i="1"/>
  <c r="R66" i="1"/>
  <c r="J66" i="1"/>
  <c r="U52" i="1"/>
  <c r="T52" i="1"/>
  <c r="S52" i="1"/>
  <c r="R52" i="1"/>
  <c r="J52" i="1"/>
  <c r="U42" i="1"/>
  <c r="T42" i="1"/>
  <c r="S42" i="1"/>
  <c r="R42" i="1"/>
  <c r="N42" i="1"/>
  <c r="M42" i="1"/>
  <c r="L42" i="1"/>
  <c r="J42" i="1"/>
  <c r="S172" i="1" s="1"/>
  <c r="S174" i="1" s="1"/>
  <c r="P99" i="1" l="1"/>
  <c r="O103" i="1"/>
  <c r="J173" i="1" s="1"/>
  <c r="H173" i="1" s="1"/>
  <c r="O197" i="1"/>
  <c r="P101" i="1"/>
  <c r="S137" i="1"/>
  <c r="P95" i="1"/>
  <c r="O195" i="1"/>
  <c r="P74" i="1"/>
  <c r="P135" i="1" s="1"/>
  <c r="N202" i="1"/>
  <c r="P90" i="1"/>
  <c r="K104" i="1"/>
  <c r="K203" i="1"/>
  <c r="O102" i="1"/>
  <c r="P91" i="1"/>
  <c r="O191" i="1"/>
  <c r="P61" i="1"/>
  <c r="P41" i="1"/>
  <c r="P114" i="1" s="1"/>
  <c r="P75" i="1"/>
  <c r="P136" i="1" s="1"/>
  <c r="N201" i="1"/>
  <c r="P62" i="1"/>
  <c r="P118" i="1" s="1"/>
  <c r="P96" i="1"/>
  <c r="Q52" i="1"/>
  <c r="P40" i="1"/>
  <c r="P158" i="1" s="1"/>
  <c r="O194" i="1"/>
  <c r="Q135" i="1"/>
  <c r="P100" i="1"/>
  <c r="Q118" i="1"/>
  <c r="P38" i="1"/>
  <c r="P113" i="1" s="1"/>
  <c r="P49" i="1"/>
  <c r="P128" i="1" s="1"/>
  <c r="Q136" i="1"/>
  <c r="O192" i="1"/>
  <c r="T172" i="1"/>
  <c r="T174" i="1" s="1"/>
  <c r="P93" i="1"/>
  <c r="P202" i="1"/>
  <c r="O198" i="1"/>
  <c r="P37" i="1"/>
  <c r="P112" i="1" s="1"/>
  <c r="Q128" i="1"/>
  <c r="P39" i="1"/>
  <c r="P157" i="1" s="1"/>
  <c r="Q102" i="1"/>
  <c r="P48" i="1"/>
  <c r="P116" i="1" s="1"/>
  <c r="P65" i="1"/>
  <c r="P131" i="1" s="1"/>
  <c r="P64" i="1"/>
  <c r="P160" i="1" s="1"/>
  <c r="P97" i="1"/>
  <c r="P63" i="1"/>
  <c r="P130" i="1" s="1"/>
  <c r="T119" i="1"/>
  <c r="T120" i="1" s="1"/>
  <c r="T161" i="1"/>
  <c r="T162" i="1" s="1"/>
  <c r="J161" i="1"/>
  <c r="J162" i="1" s="1"/>
  <c r="J119" i="1"/>
  <c r="J120" i="1" s="1"/>
  <c r="J132" i="1"/>
  <c r="L119" i="1"/>
  <c r="L120" i="1" s="1"/>
  <c r="L137" i="1"/>
  <c r="K132" i="1"/>
  <c r="J137" i="1"/>
  <c r="O119" i="1"/>
  <c r="O120" i="1" s="1"/>
  <c r="N119" i="1"/>
  <c r="N120" i="1" s="1"/>
  <c r="S132" i="1"/>
  <c r="T132" i="1"/>
  <c r="N132" i="1"/>
  <c r="K137" i="1"/>
  <c r="M119" i="1"/>
  <c r="M120" i="1" s="1"/>
  <c r="K119" i="1"/>
  <c r="K120" i="1" s="1"/>
  <c r="T137" i="1"/>
  <c r="N137" i="1"/>
  <c r="M132" i="1"/>
  <c r="R161" i="1"/>
  <c r="R162" i="1" s="1"/>
  <c r="S161" i="1"/>
  <c r="S162" i="1" s="1"/>
  <c r="N161" i="1"/>
  <c r="N163" i="1" s="1"/>
  <c r="M161" i="1"/>
  <c r="M162" i="1" s="1"/>
  <c r="L161" i="1"/>
  <c r="L163" i="1" s="1"/>
  <c r="K161" i="1"/>
  <c r="K163" i="1" s="1"/>
  <c r="S119" i="1"/>
  <c r="S120" i="1" s="1"/>
  <c r="R119" i="1"/>
  <c r="R120" i="1" s="1"/>
  <c r="R132" i="1"/>
  <c r="O137" i="1"/>
  <c r="R137" i="1"/>
  <c r="M137" i="1"/>
  <c r="L132" i="1"/>
  <c r="P103" i="1"/>
  <c r="M173" i="1" s="1"/>
  <c r="O173" i="1" s="1"/>
  <c r="P102" i="1"/>
  <c r="O132" i="1"/>
  <c r="Q161" i="1"/>
  <c r="P117" i="1"/>
  <c r="O76" i="1"/>
  <c r="S5" i="1" s="1"/>
  <c r="Q103" i="1"/>
  <c r="O42" i="1"/>
  <c r="O66" i="1"/>
  <c r="P5" i="1" s="1"/>
  <c r="Q117" i="1"/>
  <c r="P47" i="1"/>
  <c r="Q113" i="1"/>
  <c r="Q131" i="1"/>
  <c r="P51" i="1"/>
  <c r="P129" i="1" s="1"/>
  <c r="P73" i="1"/>
  <c r="P50" i="1"/>
  <c r="P159" i="1" s="1"/>
  <c r="Q66" i="1"/>
  <c r="Q76" i="1"/>
  <c r="Q130" i="1"/>
  <c r="O157" i="1"/>
  <c r="O161" i="1" s="1"/>
  <c r="P201" i="1"/>
  <c r="Q42" i="1"/>
  <c r="O52" i="1"/>
  <c r="S4" i="1" s="1"/>
  <c r="S138" i="1" l="1"/>
  <c r="Q137" i="1"/>
  <c r="O104" i="1"/>
  <c r="P161" i="1"/>
  <c r="P162" i="1" s="1"/>
  <c r="M139" i="1"/>
  <c r="L121" i="1"/>
  <c r="J138" i="1"/>
  <c r="K162" i="1"/>
  <c r="O202" i="1"/>
  <c r="N203" i="1" s="1"/>
  <c r="P132" i="1"/>
  <c r="M163" i="1"/>
  <c r="K164" i="1" s="1"/>
  <c r="O121" i="1"/>
  <c r="L162" i="1"/>
  <c r="P42" i="1"/>
  <c r="O201" i="1"/>
  <c r="P66" i="1"/>
  <c r="K121" i="1"/>
  <c r="N138" i="1"/>
  <c r="L138" i="1"/>
  <c r="K139" i="1"/>
  <c r="L139" i="1"/>
  <c r="Q132" i="1"/>
  <c r="N162" i="1"/>
  <c r="M121" i="1"/>
  <c r="N139" i="1"/>
  <c r="K138" i="1"/>
  <c r="N121" i="1"/>
  <c r="M138" i="1"/>
  <c r="T138" i="1"/>
  <c r="R138" i="1"/>
  <c r="O163" i="1"/>
  <c r="O162" i="1"/>
  <c r="O139" i="1"/>
  <c r="O138" i="1"/>
  <c r="Q119" i="1"/>
  <c r="J172" i="1"/>
  <c r="P4" i="1"/>
  <c r="Q162" i="1"/>
  <c r="Q163" i="1"/>
  <c r="P76" i="1"/>
  <c r="P134" i="1"/>
  <c r="P137" i="1" s="1"/>
  <c r="P138" i="1" s="1"/>
  <c r="P52" i="1"/>
  <c r="P115" i="1"/>
  <c r="P119" i="1" s="1"/>
  <c r="Q138" i="1" l="1"/>
  <c r="Q139" i="1"/>
  <c r="P163" i="1"/>
  <c r="O164" i="1" s="1"/>
  <c r="M172" i="1"/>
  <c r="M174" i="1" s="1"/>
  <c r="K140" i="1"/>
  <c r="K122" i="1"/>
  <c r="P121" i="1"/>
  <c r="O122" i="1" s="1"/>
  <c r="P120" i="1"/>
  <c r="H172" i="1"/>
  <c r="J174" i="1"/>
  <c r="P139" i="1"/>
  <c r="O140" i="1" s="1"/>
  <c r="Q121" i="1"/>
  <c r="Q120" i="1"/>
  <c r="O172" i="1" l="1"/>
  <c r="O174" i="1" s="1"/>
  <c r="H174" i="1"/>
  <c r="Q173" i="1" s="1"/>
  <c r="Q172" i="1" l="1"/>
  <c r="Q174" i="1" s="1"/>
</calcChain>
</file>

<file path=xl/sharedStrings.xml><?xml version="1.0" encoding="utf-8"?>
<sst xmlns="http://schemas.openxmlformats.org/spreadsheetml/2006/main" count="435" uniqueCount="173">
  <si>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</si>
  <si>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</si>
  <si>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</si>
  <si>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</si>
  <si>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</si>
  <si>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</si>
  <si>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</si>
  <si>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</si>
  <si>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</si>
  <si>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</si>
  <si>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</si>
  <si>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</si>
  <si>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</si>
  <si>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</si>
  <si>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</si>
  <si>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</si>
  <si>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</si>
  <si>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</si>
  <si>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</si>
  <si>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</si>
  <si>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</si>
  <si>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</si>
  <si>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</si>
  <si>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</si>
  <si>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</si>
  <si>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</si>
  <si>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</si>
  <si>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</si>
  <si>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LP</t>
  </si>
  <si>
    <t>T</t>
  </si>
  <si>
    <t>E</t>
  </si>
  <si>
    <t>VP</t>
  </si>
  <si>
    <t>F</t>
  </si>
  <si>
    <t>Semestrul I</t>
  </si>
  <si>
    <t>Semestrul II</t>
  </si>
  <si>
    <t>DF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</si>
  <si>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</si>
  <si>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</si>
  <si>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</si>
  <si>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</si>
  <si>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</si>
  <si>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</si>
  <si>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</si>
  <si>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</si>
  <si>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</si>
  <si>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%</t>
  </si>
  <si>
    <t xml:space="preserve">TOTAL ORE FIZICE / TOTAL ORE ALOCATE STUDIULUI </t>
  </si>
  <si>
    <t xml:space="preserve">Anexă la Planul de Învățământ specializarea / programul de studiu: 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</si>
  <si>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</si>
  <si>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</si>
  <si>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</si>
  <si>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</si>
  <si>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</si>
  <si>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</si>
  <si>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</si>
  <si>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</si>
  <si>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</si>
  <si>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</si>
  <si>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t>120 de credite din care:</t>
  </si>
  <si>
    <t>Semestrele 1 - 3 (14 săptămâni)</t>
  </si>
  <si>
    <t>Semestrul 4 (12 săptămâni)</t>
  </si>
  <si>
    <t>I. CERINŢE PENTRU OBŢINEREA DIPLOMEI DE MASTER</t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</si>
  <si>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</t>
    </r>
  </si>
  <si>
    <t>DISCIPLINE COMPLEMENTARE (DC)</t>
  </si>
  <si>
    <t>XND 1101</t>
  </si>
  <si>
    <t>XND 1102</t>
  </si>
  <si>
    <t>XND 1203</t>
  </si>
  <si>
    <t>XND 1204</t>
  </si>
  <si>
    <t xml:space="preserve">TOTAL CREDITE / ORE PE SĂPTĂMÂNĂ / EVALUĂRI </t>
  </si>
  <si>
    <t xml:space="preserve">PROGRAM DE STUDII PSIHOPEDAGOGICE </t>
  </si>
  <si>
    <t>An I, Semestrul 1</t>
  </si>
  <si>
    <t>An I, Semestrul 2</t>
  </si>
  <si>
    <t>An II, Semestrul 3</t>
  </si>
  <si>
    <t>An II, Semestrul 4</t>
  </si>
  <si>
    <t>MODUL PEDAGOCIC - Nivelul II: 30 de credite ECTS  + 5 credite ECTS aferente examenului de absolvire</t>
  </si>
  <si>
    <t>DP</t>
  </si>
  <si>
    <t>DO</t>
  </si>
  <si>
    <t>XND 2305</t>
  </si>
  <si>
    <t>XND 2306</t>
  </si>
  <si>
    <t>DF – Discipline de extensie a pregătirii psihopedagogice fundamentale (obligatorii)</t>
  </si>
  <si>
    <t>DP – Discipline de extensie a pregătirii didactice şi practice de specialitate (obligatorii)</t>
  </si>
  <si>
    <t xml:space="preserve">DO - Discipline opţionale </t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</si>
  <si>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iunie-iulie (1 săptămână)
Proba: Prezentarea şi susţinerea lucrării de disertație - 10 credite
</t>
    </r>
  </si>
  <si>
    <t>Titlul absolventului: MASTER</t>
  </si>
  <si>
    <t>DA</t>
  </si>
  <si>
    <t>DSIN</t>
  </si>
  <si>
    <t>DISCIPLINE DE SPECIALITATE  (DS)</t>
  </si>
  <si>
    <t>PLAN DE ÎNVĂŢĂMÂNT  valabil începând din anul universitar 2020-2021</t>
  </si>
  <si>
    <t>Psihopedagogia adolescenţilor, tinerilor şi adulţilor/Psychologie und Pädagogik der Jugendlichen und der Erwachsenen/Psycho-pedagogy of teenagers, youth and adults</t>
  </si>
  <si>
    <t>Proiectarea şi managementul programelor educaţionale/Design und Management von Bildungsprogrammen/Design and management of educational programmes</t>
  </si>
  <si>
    <t>Didactica domeniului şi dezvoltări în didactica specialităţii (învăţământ liceal, postliceal, universitar)/Die Fachdidaktik und Entwicklungen in der Fachdidaktik (Oberstufe, Hochschule)/Field didactics and developments in the didactics of the specialization (high school, post-high school, higher education)</t>
  </si>
  <si>
    <t>Disciplină opțională 1/Wahlfach (1)/Optional discipline (1)</t>
  </si>
  <si>
    <t xml:space="preserve">Practică pedagogică (în învăţământul liceal, postliceal şi universitar)/Sculpraktikum (Oberstufe, Hochschule)/Pre-service teaching practice (at high school, post-high school, higher education level)
</t>
  </si>
  <si>
    <t>Disciplină opțională 2/Wahlfach (2)/Optional discipline (2)</t>
  </si>
  <si>
    <t>Examen de absolvire: Nivelul II/Abschlussprüfung: Niveau II/Graduation exam: Level II</t>
  </si>
  <si>
    <t>(*)</t>
  </si>
  <si>
    <t>Specializarea/Programul de studiu: Sisteme informatice avansate - modelare, proiectare, dezvoltare / Advanced Computer Science Systems: Modeling, Design and Development / Fortgeschrittene Informationssysteme: Modellierung, Entwurf, Entwickelung</t>
  </si>
  <si>
    <t>FACULTATEA DE MATEMATICĂ ȘI INFORMATICĂ</t>
  </si>
  <si>
    <t>Domeniul: Informatică</t>
  </si>
  <si>
    <t>Limba de predare: germană și engleză</t>
  </si>
  <si>
    <t>UNIVERSITATEA BABEŞ-BOLYAI CLUJ-NAPOCA</t>
  </si>
  <si>
    <r>
      <t xml:space="preserve">(*) </t>
    </r>
    <r>
      <rPr>
        <sz val="10"/>
        <color indexed="8"/>
        <rFont val="Times New Roman"/>
        <family val="1"/>
      </rPr>
      <t>Disciplina "Practică în specialitate" este planificată a se desfășura în semestrul 4 și are 20 credite.</t>
    </r>
  </si>
  <si>
    <t>MMG8143</t>
  </si>
  <si>
    <t>MMG8153</t>
  </si>
  <si>
    <t>MMX9701</t>
  </si>
  <si>
    <t>MMG8065</t>
  </si>
  <si>
    <t>MMG8154</t>
  </si>
  <si>
    <t>MMG8155</t>
  </si>
  <si>
    <t>MMX9702</t>
  </si>
  <si>
    <t>MMG8156</t>
  </si>
  <si>
    <t>MMG8157</t>
  </si>
  <si>
    <t>MMG9105</t>
  </si>
  <si>
    <t>MMX9703</t>
  </si>
  <si>
    <t>MMG9012</t>
  </si>
  <si>
    <t>MMG9104</t>
  </si>
  <si>
    <t>MMG3042</t>
  </si>
  <si>
    <t>Curs opțional 1 / Optional Course 1 / 1. Wahlpflichtfach</t>
  </si>
  <si>
    <t>Curs opțional 2 / Optional Course 2 / 2. Wahlpflichtfach</t>
  </si>
  <si>
    <t>Curs opțional 3 / Optional Course 3 / 3. Wahlpflichtfach</t>
  </si>
  <si>
    <t>MMG9106</t>
  </si>
  <si>
    <t>MMG9107</t>
  </si>
  <si>
    <t>MMG9108</t>
  </si>
  <si>
    <t>CURS OPȚIONAL 1 (An I, Semestrul 1) - (MMX9701)</t>
  </si>
  <si>
    <t>CURS OPȚIONAL 2 (An I, Semestrul 2)- (MMX9702)</t>
  </si>
  <si>
    <t>CURS OPȚIONAL 3 (An II, Semestrul 3)- (MMX9703)</t>
  </si>
  <si>
    <t>Sem. 1: Se alege  o disciplină din pachetul: MMX9701</t>
  </si>
  <si>
    <t>Sem. 2: Se alege  o disciplină din pachetul: MMX9702</t>
  </si>
  <si>
    <t>Sem. 3: Se alege  o disciplină din pachetul: MMX9703</t>
  </si>
  <si>
    <t>MMG9701</t>
  </si>
  <si>
    <t>MME8025</t>
  </si>
  <si>
    <t>MME8059</t>
  </si>
  <si>
    <t>MME3052</t>
  </si>
  <si>
    <t>MMG8999</t>
  </si>
  <si>
    <t>MME8120</t>
  </si>
  <si>
    <t>MME8110</t>
  </si>
  <si>
    <t>MME8048</t>
  </si>
  <si>
    <t>MME8042</t>
  </si>
  <si>
    <t>MME8028</t>
  </si>
  <si>
    <r>
      <rPr>
        <b/>
        <sz val="10"/>
        <color indexed="8"/>
        <rFont val="Times New Roman"/>
        <family val="1"/>
      </rPr>
      <t xml:space="preserve">    99 </t>
    </r>
    <r>
      <rPr>
        <sz val="10"/>
        <color indexed="8"/>
        <rFont val="Times New Roman"/>
        <family val="1"/>
      </rPr>
      <t>de credite la disciplinele obligatorii;</t>
    </r>
  </si>
  <si>
    <r>
      <rPr>
        <b/>
        <sz val="10"/>
        <color indexed="8"/>
        <rFont val="Times New Roman"/>
        <family val="1"/>
      </rPr>
      <t xml:space="preserve">   </t>
    </r>
    <r>
      <rPr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Times New Roman"/>
        <family val="1"/>
      </rPr>
      <t>21</t>
    </r>
    <r>
      <rPr>
        <sz val="10"/>
        <color indexed="8"/>
        <rFont val="Times New Roman"/>
        <family val="1"/>
      </rPr>
      <t xml:space="preserve"> de credite la disciplinele opţionale;</t>
    </r>
  </si>
  <si>
    <t>Comunicare în limba germană în industria IT1 / Communication in German in IT 1 / 1. Kurs Deutsch als Kommunikationssprache in IT</t>
  </si>
  <si>
    <t>Instrumente de modelare / Modeling Tools / Modellierungswerkzeuge</t>
  </si>
  <si>
    <t>Comunicare în limba germană în industria IT2 / Communication in German in IT 2 / 2. Kurs Deutsch als Kommunikationssprache in IT</t>
  </si>
  <si>
    <t>Securitatea sistemelor software / Software Systems Security / Sicherheit der Informationssysteme</t>
  </si>
  <si>
    <t>Comunicare în limba germană în industria IT3 / Communication in German in IT 3 / 3. Kurs Deutsch als Kommunikationssprache in IT</t>
  </si>
  <si>
    <t xml:space="preserve">Practică în specialitate / Internship in Specialization / Praktikum </t>
  </si>
  <si>
    <t>Elaborarea lucrării de disertație / Elaboration of the Dissertation Thesis / Entwurf der Abschlussarbeit</t>
  </si>
  <si>
    <t>Ingineria cerințelor / Requirements Engineering</t>
  </si>
  <si>
    <t>Metode avansate de analiză a datelor / Advanced Methods in Data Analysis</t>
  </si>
  <si>
    <t>Instruire automată / Machine Learning</t>
  </si>
  <si>
    <t>Algoritmi, modele și concepte în sisteme distribuite / Algorithms, Models and Concepts in Distributed Systems</t>
  </si>
  <si>
    <t>Descoperirea cunoștințelor în rețele de mare întindere / Knowledge Discovery in Wide Area Networks</t>
  </si>
  <si>
    <t>Vizualizarea științifică a datelor / Scientific Data Vizualization</t>
  </si>
  <si>
    <t>Web Design adaptiv / Adaptive Web Design</t>
  </si>
  <si>
    <t>Introducere in SAP/ABAP / Introduction to SAP/ABAP  / Einführung in SAP/ABAP</t>
  </si>
  <si>
    <t>Paradigme de programare / Programming Paradigms</t>
  </si>
  <si>
    <r>
      <rPr>
        <b/>
        <sz val="10"/>
        <color indexed="8"/>
        <rFont val="Times New Roman"/>
        <family val="1"/>
      </rPr>
      <t>VI.  UNIVERSITĂŢI EUROPENE DE REFERINŢĂ:</t>
    </r>
    <r>
      <rPr>
        <sz val="10"/>
        <color indexed="8"/>
        <rFont val="Times New Roman"/>
        <family val="1"/>
      </rPr>
      <t xml:space="preserve">
Univ. Duisburg, Univ. Műnster, Carnegie Mellon, University of California
Planul reflectă recomandările Association of Computing Machinery şi IEEE Computer Society</t>
    </r>
  </si>
  <si>
    <t>L</t>
  </si>
  <si>
    <t>P</t>
  </si>
  <si>
    <t>1) Pentru a ocupa posturi didactice în învăţământul liceal, postliceal şi universitar, absolvenţii trebuie să posede Certificat de absolvire a Programului se studii psihopedagogice, Nivelul II, a Departamentului pentru pregătirea personalului didactic. Disciplinelor Departamentului li se repartizează 30 de credite (+ 5 credite aferente examenului de absolvire) 
2) Practica de specialitate se desfasoara pe o durata de 192 de ore</t>
  </si>
  <si>
    <t>Metodologii agile de dezvoltare a aplicațiilor software / Agile Methodologies for Software Applications Development / Agile Softwareentwicklung</t>
  </si>
  <si>
    <t>Managementul fluxului de operații / Operations Flow Management / Prozessmanagement</t>
  </si>
  <si>
    <t>Proiectarea sistemelor software / Software Design / Softwareentwicklung</t>
  </si>
  <si>
    <t>Aspecte computaționale ale sistemelor scalabile / Computational Aspects of Scalable Systems / Skalierbare Systeme</t>
  </si>
  <si>
    <t>Proiect de modelare și dezvoltare / Modeling and Development Project / Modellierungs- und Entwicklungsprojekt</t>
  </si>
  <si>
    <t>Proiect de cercetare în sisteme informatice avansate / Research Project in Advanced Computer Science Systems / Forschungsprojekt fortgeschrittene Informationssysteme</t>
  </si>
  <si>
    <t>Antreprenoriat în IT / Entrepreneurship in IT / Unternehmertum in IT</t>
  </si>
  <si>
    <t>Cicluri de viață ale sistemelor software / Software Systems Lifecycle / Lebenszyklen der Softwaresysteme</t>
  </si>
  <si>
    <t>MMG3150</t>
  </si>
  <si>
    <t>Etică și integritate academică. Metodologia cercetării ştiinţifice / Academic ethics and integrity. Methodology of scientific research / Akademische Ethik und Integrität. Methodologie der wissenschaftlichen Forschung</t>
  </si>
  <si>
    <t>Durata studiilor: 4 semestre</t>
  </si>
  <si>
    <t>Forma de învăţământ: cu frecvenţă</t>
  </si>
  <si>
    <t>În contul a cel mult o disciplină opţională, studentul are dreptul să aleagă o disciplină de la alte specializări ale facultăţilor din Universitatea „Babeş-Bolyai”, respectând condiționările din planurile de învățământ ale respectivelor specializări şi numărul de credite alocat.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</si>
</sst>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9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  <protection locked="0"/>
    </xf>
    <xf numFmtId="1" fontId="10" fillId="4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/>
    </xf>
    <xf numFmtId="1" fontId="1" fillId="4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1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1" fontId="1" fillId="3" borderId="1" xfId="0" applyNumberFormat="1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9" fontId="8" fillId="0" borderId="0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/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2" fillId="4" borderId="5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 applyProtection="1">
      <alignment horizontal="center" vertical="center" wrapText="1"/>
      <protection locked="0"/>
    </xf>
    <xf numFmtId="1" fontId="2" fillId="0" borderId="6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11" xfId="0" applyNumberFormat="1" applyFont="1" applyBorder="1" applyAlignment="1" applyProtection="1">
      <alignment horizontal="center" vertical="center"/>
    </xf>
    <xf numFmtId="1" fontId="2" fillId="0" borderId="7" xfId="0" applyNumberFormat="1" applyFont="1" applyBorder="1" applyAlignment="1" applyProtection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10" xfId="0" applyFont="1" applyFill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7" xfId="0" applyFont="1" applyFill="1" applyBorder="1" applyAlignment="1" applyProtection="1">
      <alignment horizontal="left" vertical="center" wrapText="1"/>
    </xf>
    <xf numFmtId="0" fontId="2" fillId="4" borderId="8" xfId="0" applyFont="1" applyFill="1" applyBorder="1" applyAlignment="1" applyProtection="1">
      <alignment horizontal="left" vertical="center" wrapText="1"/>
    </xf>
    <xf numFmtId="0" fontId="2" fillId="0" borderId="7" xfId="0" applyFont="1" applyBorder="1" applyProtection="1">
      <protection locked="0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2" fontId="1" fillId="4" borderId="9" xfId="0" applyNumberFormat="1" applyFont="1" applyFill="1" applyBorder="1" applyAlignment="1" applyProtection="1">
      <alignment horizontal="center" vertical="center"/>
    </xf>
    <xf numFmtId="2" fontId="1" fillId="4" borderId="4" xfId="0" applyNumberFormat="1" applyFont="1" applyFill="1" applyBorder="1" applyAlignment="1" applyProtection="1">
      <alignment horizontal="center" vertical="center"/>
    </xf>
    <xf numFmtId="2" fontId="1" fillId="4" borderId="10" xfId="0" applyNumberFormat="1" applyFont="1" applyFill="1" applyBorder="1" applyAlignment="1" applyProtection="1">
      <alignment horizontal="center" vertical="center"/>
    </xf>
    <xf numFmtId="2" fontId="1" fillId="4" borderId="11" xfId="0" applyNumberFormat="1" applyFont="1" applyFill="1" applyBorder="1" applyAlignment="1" applyProtection="1">
      <alignment horizontal="center" vertical="center"/>
    </xf>
    <xf numFmtId="2" fontId="1" fillId="4" borderId="7" xfId="0" applyNumberFormat="1" applyFont="1" applyFill="1" applyBorder="1" applyAlignment="1" applyProtection="1">
      <alignment horizontal="center" vertical="center"/>
    </xf>
    <xf numFmtId="2" fontId="1" fillId="4" borderId="8" xfId="0" applyNumberFormat="1" applyFont="1" applyFill="1" applyBorder="1" applyAlignment="1" applyProtection="1">
      <alignment horizontal="center" vertical="center"/>
    </xf>
    <xf numFmtId="1" fontId="2" fillId="4" borderId="2" xfId="0" applyNumberFormat="1" applyFont="1" applyFill="1" applyBorder="1" applyAlignment="1" applyProtection="1">
      <alignment horizontal="center" vertical="center"/>
    </xf>
    <xf numFmtId="1" fontId="2" fillId="4" borderId="5" xfId="0" applyNumberFormat="1" applyFont="1" applyFill="1" applyBorder="1" applyAlignment="1" applyProtection="1">
      <alignment horizontal="center" vertical="center"/>
    </xf>
    <xf numFmtId="1" fontId="2" fillId="4" borderId="6" xfId="0" applyNumberFormat="1" applyFont="1" applyFill="1" applyBorder="1" applyAlignment="1" applyProtection="1">
      <alignment horizontal="center" vertical="center"/>
    </xf>
    <xf numFmtId="1" fontId="1" fillId="4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1" fontId="1" fillId="4" borderId="2" xfId="0" applyNumberFormat="1" applyFont="1" applyFill="1" applyBorder="1" applyAlignment="1" applyProtection="1">
      <alignment horizontal="left" vertical="center" wrapText="1"/>
      <protection locked="0"/>
    </xf>
    <xf numFmtId="1" fontId="1" fillId="4" borderId="5" xfId="0" applyNumberFormat="1" applyFont="1" applyFill="1" applyBorder="1" applyAlignment="1" applyProtection="1">
      <alignment horizontal="left" vertical="center" wrapText="1"/>
      <protection locked="0"/>
    </xf>
    <xf numFmtId="1" fontId="1" fillId="4" borderId="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2" fillId="4" borderId="2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9" fontId="8" fillId="0" borderId="2" xfId="0" applyNumberFormat="1" applyFont="1" applyBorder="1" applyAlignment="1" applyProtection="1">
      <alignment horizontal="center" vertical="center"/>
    </xf>
    <xf numFmtId="9" fontId="8" fillId="0" borderId="6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9" fillId="0" borderId="2" xfId="0" applyNumberFormat="1" applyFont="1" applyBorder="1" applyAlignment="1" applyProtection="1">
      <alignment horizontal="center"/>
    </xf>
    <xf numFmtId="9" fontId="9" fillId="0" borderId="6" xfId="0" applyNumberFormat="1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 wrapText="1"/>
      <protection locked="0"/>
    </xf>
    <xf numFmtId="1" fontId="1" fillId="3" borderId="5" xfId="0" applyNumberFormat="1" applyFont="1" applyFill="1" applyBorder="1" applyAlignment="1" applyProtection="1">
      <alignment horizontal="left" vertical="center" wrapText="1"/>
      <protection locked="0"/>
    </xf>
    <xf numFmtId="1" fontId="1" fillId="3" borderId="6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7"/>
  <sheetViews>
    <sheetView tabSelected="1" showWhiteSpace="0" topLeftCell="A196" zoomScale="85" zoomScaleNormal="85" zoomScalePageLayoutView="102" workbookViewId="0">
      <selection activeCell="AD17" sqref="AD17"/>
    </sheetView>
  </sheetViews>
  <sheetFormatPr defaultColWidth="8.85546875" defaultRowHeight="12.75" x14ac:dyDescent="0.2"/>
  <cols>
    <col min="1" max="1" width="9.42578125" style="1" customWidth="1"/>
    <col min="2" max="2" width="7.140625" style="1" customWidth="1"/>
    <col min="3" max="3" width="7.42578125" style="1" customWidth="1"/>
    <col min="4" max="5" width="4.5703125" style="1" customWidth="1"/>
    <col min="6" max="6" width="4.42578125" style="1" customWidth="1"/>
    <col min="7" max="7" width="8.140625" style="1" customWidth="1"/>
    <col min="8" max="8" width="8.42578125" style="1" customWidth="1"/>
    <col min="9" max="9" width="5.85546875" style="1" customWidth="1"/>
    <col min="10" max="10" width="7.42578125" style="1" customWidth="1"/>
    <col min="11" max="11" width="5.42578125" style="62" customWidth="1"/>
    <col min="12" max="20" width="5.42578125" style="1" customWidth="1"/>
    <col min="21" max="21" width="9.42578125" style="1" customWidth="1"/>
    <col min="22" max="16384" width="8.85546875" style="1"/>
  </cols>
  <sheetData>
    <row r="1" spans="1:21" ht="15.75" customHeight="1" x14ac:dyDescent="0.2">
      <c r="A1" s="146" t="s">
        <v>87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N1" s="207" t="s">
        <v>17</v>
      </c>
      <c r="O1" s="207"/>
      <c r="P1" s="207"/>
      <c r="Q1" s="207"/>
      <c r="R1" s="207"/>
      <c r="S1" s="207"/>
      <c r="T1" s="207"/>
      <c r="U1" s="207"/>
    </row>
    <row r="2" spans="1:21" ht="6.75" customHeight="1" x14ac:dyDescent="0.2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21" ht="24" customHeight="1" x14ac:dyDescent="0.2">
      <c r="A3" s="205" t="s">
        <v>100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N3" s="212"/>
      <c r="O3" s="213"/>
      <c r="P3" s="139" t="s">
        <v>33</v>
      </c>
      <c r="Q3" s="140"/>
      <c r="R3" s="141"/>
      <c r="S3" s="139" t="s">
        <v>34</v>
      </c>
      <c r="T3" s="140"/>
      <c r="U3" s="141"/>
    </row>
    <row r="4" spans="1:21" ht="17.25" customHeight="1" x14ac:dyDescent="0.2">
      <c r="A4" s="209" t="s">
        <v>97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N4" s="214" t="s">
        <v>13</v>
      </c>
      <c r="O4" s="215"/>
      <c r="P4" s="233">
        <f>O42</f>
        <v>20</v>
      </c>
      <c r="Q4" s="234"/>
      <c r="R4" s="235"/>
      <c r="S4" s="233">
        <f>O52</f>
        <v>20</v>
      </c>
      <c r="T4" s="234"/>
      <c r="U4" s="235"/>
    </row>
    <row r="5" spans="1:21" ht="16.5" customHeight="1" x14ac:dyDescent="0.2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N5" s="214" t="s">
        <v>14</v>
      </c>
      <c r="O5" s="215"/>
      <c r="P5" s="233">
        <f>O66</f>
        <v>17</v>
      </c>
      <c r="Q5" s="234"/>
      <c r="R5" s="235"/>
      <c r="S5" s="233">
        <f>O76</f>
        <v>24</v>
      </c>
      <c r="T5" s="234"/>
      <c r="U5" s="235"/>
    </row>
    <row r="6" spans="1:21" ht="15" customHeight="1" x14ac:dyDescent="0.2">
      <c r="A6" s="209" t="s">
        <v>98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N6" s="237"/>
      <c r="O6" s="237"/>
      <c r="P6" s="223"/>
      <c r="Q6" s="223"/>
      <c r="R6" s="223"/>
      <c r="S6" s="223"/>
      <c r="T6" s="223"/>
      <c r="U6" s="223"/>
    </row>
    <row r="7" spans="1:21" ht="51" customHeight="1" x14ac:dyDescent="0.2">
      <c r="A7" s="238" t="s">
        <v>96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</row>
    <row r="8" spans="1:21" ht="18.75" customHeight="1" x14ac:dyDescent="0.2">
      <c r="A8" s="239" t="s">
        <v>99</v>
      </c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  <c r="N8" s="225" t="s">
        <v>82</v>
      </c>
      <c r="O8" s="225"/>
      <c r="P8" s="225"/>
      <c r="Q8" s="225"/>
      <c r="R8" s="225"/>
      <c r="S8" s="225"/>
      <c r="T8" s="225"/>
      <c r="U8" s="225"/>
    </row>
    <row r="9" spans="1:21" ht="15" customHeight="1" x14ac:dyDescent="0.2">
      <c r="A9" s="236" t="s">
        <v>83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N9" s="225"/>
      <c r="O9" s="225"/>
      <c r="P9" s="225"/>
      <c r="Q9" s="225"/>
      <c r="R9" s="225"/>
      <c r="S9" s="225"/>
      <c r="T9" s="225"/>
      <c r="U9" s="225"/>
    </row>
    <row r="10" spans="1:21" ht="16.5" customHeight="1" x14ac:dyDescent="0.2">
      <c r="A10" s="236" t="s">
        <v>170</v>
      </c>
      <c r="B10" s="236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N10" s="225"/>
      <c r="O10" s="225"/>
      <c r="P10" s="225"/>
      <c r="Q10" s="225"/>
      <c r="R10" s="225"/>
      <c r="S10" s="225"/>
      <c r="T10" s="225"/>
      <c r="U10" s="225"/>
    </row>
    <row r="11" spans="1:21" ht="12.75" customHeight="1" x14ac:dyDescent="0.2">
      <c r="A11" s="236" t="s">
        <v>171</v>
      </c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N11" s="225"/>
      <c r="O11" s="225"/>
      <c r="P11" s="225"/>
      <c r="Q11" s="225"/>
      <c r="R11" s="225"/>
      <c r="S11" s="225"/>
      <c r="T11" s="225"/>
      <c r="U11" s="225"/>
    </row>
    <row r="12" spans="1:21" ht="10.5" customHeight="1" x14ac:dyDescent="0.2">
      <c r="A12" s="211"/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N12" s="2"/>
      <c r="O12" s="2"/>
      <c r="P12" s="2"/>
      <c r="Q12" s="2"/>
      <c r="R12" s="2"/>
      <c r="S12" s="2"/>
    </row>
    <row r="13" spans="1:21" x14ac:dyDescent="0.2">
      <c r="A13" s="236" t="s">
        <v>61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N13" s="240" t="s">
        <v>18</v>
      </c>
      <c r="O13" s="240"/>
      <c r="P13" s="240"/>
      <c r="Q13" s="240"/>
      <c r="R13" s="240"/>
      <c r="S13" s="240"/>
      <c r="T13" s="240"/>
      <c r="U13" s="240"/>
    </row>
    <row r="14" spans="1:21" ht="12.75" customHeight="1" x14ac:dyDescent="0.2">
      <c r="A14" s="236" t="s">
        <v>58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N14" s="208" t="s">
        <v>125</v>
      </c>
      <c r="O14" s="208"/>
      <c r="P14" s="208"/>
      <c r="Q14" s="208"/>
      <c r="R14" s="208"/>
      <c r="S14" s="208"/>
      <c r="T14" s="208"/>
      <c r="U14" s="208"/>
    </row>
    <row r="15" spans="1:21" ht="12.75" customHeight="1" x14ac:dyDescent="0.2">
      <c r="A15" s="224" t="s">
        <v>138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N15" s="208" t="s">
        <v>126</v>
      </c>
      <c r="O15" s="208"/>
      <c r="P15" s="208"/>
      <c r="Q15" s="208"/>
      <c r="R15" s="208"/>
      <c r="S15" s="208"/>
      <c r="T15" s="208"/>
      <c r="U15" s="208"/>
    </row>
    <row r="16" spans="1:21" ht="12.75" customHeight="1" x14ac:dyDescent="0.2">
      <c r="A16" s="224" t="s">
        <v>139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N16" s="208" t="s">
        <v>127</v>
      </c>
      <c r="O16" s="208"/>
      <c r="P16" s="208"/>
      <c r="Q16" s="208"/>
      <c r="R16" s="208"/>
      <c r="S16" s="208"/>
      <c r="T16" s="208"/>
      <c r="U16" s="208"/>
    </row>
    <row r="17" spans="1:21" ht="12.75" customHeight="1" x14ac:dyDescent="0.2">
      <c r="A17" s="211" t="s">
        <v>0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N17" s="206"/>
      <c r="O17" s="206"/>
      <c r="P17" s="206"/>
      <c r="Q17" s="206"/>
      <c r="R17" s="206"/>
      <c r="S17" s="206"/>
      <c r="T17" s="206"/>
      <c r="U17" s="206"/>
    </row>
    <row r="18" spans="1:21" ht="14.25" customHeight="1" x14ac:dyDescent="0.2">
      <c r="A18" s="211" t="s">
        <v>62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N18" s="206"/>
      <c r="O18" s="206"/>
      <c r="P18" s="206"/>
      <c r="Q18" s="206"/>
      <c r="R18" s="206"/>
      <c r="S18" s="206"/>
      <c r="T18" s="206"/>
      <c r="U18" s="206"/>
    </row>
    <row r="19" spans="1:21" ht="6.6" customHeight="1" x14ac:dyDescent="0.2">
      <c r="A19" s="211"/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N19" s="206"/>
      <c r="O19" s="206"/>
      <c r="P19" s="206"/>
      <c r="Q19" s="206"/>
      <c r="R19" s="206"/>
      <c r="S19" s="206"/>
      <c r="T19" s="206"/>
      <c r="U19" s="206"/>
    </row>
    <row r="20" spans="1:21" ht="7.5" customHeight="1" x14ac:dyDescent="0.2">
      <c r="A20" s="225" t="s">
        <v>159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N20" s="2"/>
      <c r="O20" s="2"/>
      <c r="P20" s="2"/>
      <c r="Q20" s="2"/>
      <c r="R20" s="2"/>
      <c r="S20" s="2"/>
    </row>
    <row r="21" spans="1:21" ht="15" customHeight="1" x14ac:dyDescent="0.2">
      <c r="A21" s="225"/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N21" s="226" t="s">
        <v>172</v>
      </c>
      <c r="O21" s="226"/>
      <c r="P21" s="226"/>
      <c r="Q21" s="226"/>
      <c r="R21" s="226"/>
      <c r="S21" s="226"/>
      <c r="T21" s="226"/>
      <c r="U21" s="226"/>
    </row>
    <row r="22" spans="1:21" ht="15" customHeight="1" x14ac:dyDescent="0.2">
      <c r="A22" s="225"/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N22" s="226"/>
      <c r="O22" s="226"/>
      <c r="P22" s="226"/>
      <c r="Q22" s="226"/>
      <c r="R22" s="226"/>
      <c r="S22" s="226"/>
      <c r="T22" s="226"/>
      <c r="U22" s="226"/>
    </row>
    <row r="23" spans="1:21" ht="27.75" customHeight="1" x14ac:dyDescent="0.2">
      <c r="A23" s="225"/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N23" s="226"/>
      <c r="O23" s="226"/>
      <c r="P23" s="226"/>
      <c r="Q23" s="226"/>
      <c r="R23" s="226"/>
      <c r="S23" s="226"/>
      <c r="T23" s="226"/>
      <c r="U23" s="226"/>
    </row>
    <row r="24" spans="1:21" ht="9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61"/>
      <c r="L24" s="2"/>
      <c r="N24" s="3"/>
      <c r="O24" s="3"/>
      <c r="P24" s="3"/>
      <c r="Q24" s="3"/>
      <c r="R24" s="3"/>
      <c r="S24" s="3"/>
    </row>
    <row r="25" spans="1:21" ht="12.75" customHeight="1" x14ac:dyDescent="0.2">
      <c r="A25" s="109" t="s">
        <v>15</v>
      </c>
      <c r="B25" s="109"/>
      <c r="C25" s="109"/>
      <c r="D25" s="109"/>
      <c r="E25" s="109"/>
      <c r="F25" s="109"/>
      <c r="G25" s="109"/>
      <c r="N25" s="226" t="s">
        <v>156</v>
      </c>
      <c r="O25" s="226"/>
      <c r="P25" s="226"/>
      <c r="Q25" s="226"/>
      <c r="R25" s="226"/>
      <c r="S25" s="226"/>
      <c r="T25" s="226"/>
      <c r="U25" s="226"/>
    </row>
    <row r="26" spans="1:21" ht="26.25" customHeight="1" x14ac:dyDescent="0.2">
      <c r="A26" s="4"/>
      <c r="B26" s="139" t="s">
        <v>1</v>
      </c>
      <c r="C26" s="141"/>
      <c r="D26" s="139" t="s">
        <v>2</v>
      </c>
      <c r="E26" s="140"/>
      <c r="F26" s="141"/>
      <c r="G26" s="221" t="s">
        <v>16</v>
      </c>
      <c r="H26" s="221" t="s">
        <v>9</v>
      </c>
      <c r="I26" s="139" t="s">
        <v>3</v>
      </c>
      <c r="J26" s="140"/>
      <c r="K26" s="140"/>
      <c r="L26" s="141"/>
      <c r="N26" s="226"/>
      <c r="O26" s="226"/>
      <c r="P26" s="226"/>
      <c r="Q26" s="226"/>
      <c r="R26" s="226"/>
      <c r="S26" s="226"/>
      <c r="T26" s="226"/>
      <c r="U26" s="226"/>
    </row>
    <row r="27" spans="1:21" ht="14.25" customHeight="1" x14ac:dyDescent="0.2">
      <c r="A27" s="4"/>
      <c r="B27" s="5" t="s">
        <v>4</v>
      </c>
      <c r="C27" s="5" t="s">
        <v>5</v>
      </c>
      <c r="D27" s="5" t="s">
        <v>6</v>
      </c>
      <c r="E27" s="5" t="s">
        <v>7</v>
      </c>
      <c r="F27" s="5" t="s">
        <v>8</v>
      </c>
      <c r="G27" s="222"/>
      <c r="H27" s="222"/>
      <c r="I27" s="5" t="s">
        <v>10</v>
      </c>
      <c r="J27" s="5" t="s">
        <v>11</v>
      </c>
      <c r="K27" s="56"/>
      <c r="L27" s="5" t="s">
        <v>12</v>
      </c>
      <c r="N27" s="226"/>
      <c r="O27" s="226"/>
      <c r="P27" s="226"/>
      <c r="Q27" s="226"/>
      <c r="R27" s="226"/>
      <c r="S27" s="226"/>
      <c r="T27" s="226"/>
      <c r="U27" s="226"/>
    </row>
    <row r="28" spans="1:21" ht="17.25" customHeight="1" x14ac:dyDescent="0.2">
      <c r="A28" s="6" t="s">
        <v>13</v>
      </c>
      <c r="B28" s="7">
        <v>14</v>
      </c>
      <c r="C28" s="7">
        <v>14</v>
      </c>
      <c r="D28" s="25">
        <v>3</v>
      </c>
      <c r="E28" s="25">
        <v>3</v>
      </c>
      <c r="F28" s="25">
        <v>2</v>
      </c>
      <c r="G28" s="25"/>
      <c r="H28" s="43"/>
      <c r="I28" s="25">
        <v>3</v>
      </c>
      <c r="J28" s="25">
        <v>1</v>
      </c>
      <c r="K28" s="25"/>
      <c r="L28" s="25">
        <v>12</v>
      </c>
      <c r="N28" s="226"/>
      <c r="O28" s="226"/>
      <c r="P28" s="226"/>
      <c r="Q28" s="226"/>
      <c r="R28" s="226"/>
      <c r="S28" s="226"/>
      <c r="T28" s="226"/>
      <c r="U28" s="226"/>
    </row>
    <row r="29" spans="1:21" ht="15" customHeight="1" x14ac:dyDescent="0.2">
      <c r="A29" s="6" t="s">
        <v>14</v>
      </c>
      <c r="B29" s="7">
        <v>14</v>
      </c>
      <c r="C29" s="7">
        <v>12</v>
      </c>
      <c r="D29" s="25">
        <v>3</v>
      </c>
      <c r="E29" s="25">
        <v>3</v>
      </c>
      <c r="F29" s="25">
        <v>2</v>
      </c>
      <c r="G29" s="25">
        <v>2</v>
      </c>
      <c r="H29" s="25" t="s">
        <v>95</v>
      </c>
      <c r="I29" s="25">
        <v>3</v>
      </c>
      <c r="J29" s="25">
        <v>1</v>
      </c>
      <c r="K29" s="25"/>
      <c r="L29" s="25">
        <v>12</v>
      </c>
      <c r="N29" s="70"/>
      <c r="O29" s="70"/>
      <c r="P29" s="70"/>
      <c r="Q29" s="70"/>
      <c r="R29" s="70"/>
      <c r="S29" s="70"/>
      <c r="T29" s="70"/>
      <c r="U29" s="70"/>
    </row>
    <row r="30" spans="1:21" ht="15.75" customHeight="1" x14ac:dyDescent="0.2">
      <c r="A30" s="37" t="s">
        <v>101</v>
      </c>
      <c r="B30" s="35"/>
      <c r="C30" s="35"/>
      <c r="D30" s="35"/>
      <c r="E30" s="35"/>
      <c r="F30" s="35"/>
      <c r="G30" s="35"/>
      <c r="H30" s="35"/>
      <c r="I30" s="35"/>
      <c r="J30" s="35"/>
      <c r="K30" s="60"/>
      <c r="L30" s="38"/>
      <c r="N30" s="70"/>
      <c r="O30" s="70"/>
      <c r="P30" s="70"/>
      <c r="Q30" s="70"/>
      <c r="R30" s="70"/>
      <c r="S30" s="70"/>
      <c r="T30" s="70"/>
      <c r="U30" s="70"/>
    </row>
    <row r="31" spans="1:21" ht="21" customHeight="1" x14ac:dyDescent="0.2">
      <c r="A31" s="36"/>
      <c r="B31" s="36"/>
      <c r="C31" s="36"/>
      <c r="D31" s="36"/>
      <c r="E31" s="36"/>
      <c r="F31" s="36"/>
      <c r="G31" s="36"/>
      <c r="N31" s="70"/>
      <c r="O31" s="70"/>
      <c r="P31" s="70"/>
      <c r="Q31" s="70"/>
      <c r="R31" s="70"/>
      <c r="S31" s="70"/>
      <c r="T31" s="70"/>
      <c r="U31" s="70"/>
    </row>
    <row r="32" spans="1:21" ht="20.25" customHeight="1" x14ac:dyDescent="0.2">
      <c r="A32" s="210" t="s">
        <v>19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</row>
    <row r="33" spans="1:21" ht="20.25" hidden="1" customHeight="1" x14ac:dyDescent="0.2">
      <c r="O33" s="9"/>
      <c r="P33" s="10" t="s">
        <v>35</v>
      </c>
      <c r="Q33" s="10" t="s">
        <v>36</v>
      </c>
      <c r="R33" s="10" t="s">
        <v>37</v>
      </c>
      <c r="S33" s="10" t="s">
        <v>84</v>
      </c>
      <c r="T33" s="10" t="s">
        <v>85</v>
      </c>
      <c r="U33" s="10"/>
    </row>
    <row r="34" spans="1:21" ht="20.25" customHeight="1" x14ac:dyDescent="0.2">
      <c r="A34" s="85" t="s">
        <v>40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7"/>
    </row>
    <row r="35" spans="1:21" ht="27.75" customHeight="1" x14ac:dyDescent="0.2">
      <c r="A35" s="231" t="s">
        <v>25</v>
      </c>
      <c r="B35" s="199" t="s">
        <v>24</v>
      </c>
      <c r="C35" s="200"/>
      <c r="D35" s="200"/>
      <c r="E35" s="200"/>
      <c r="F35" s="200"/>
      <c r="G35" s="200"/>
      <c r="H35" s="200"/>
      <c r="I35" s="201"/>
      <c r="J35" s="221" t="s">
        <v>38</v>
      </c>
      <c r="K35" s="79" t="s">
        <v>22</v>
      </c>
      <c r="L35" s="80"/>
      <c r="M35" s="80"/>
      <c r="N35" s="81"/>
      <c r="O35" s="216" t="s">
        <v>39</v>
      </c>
      <c r="P35" s="217"/>
      <c r="Q35" s="218"/>
      <c r="R35" s="216" t="s">
        <v>21</v>
      </c>
      <c r="S35" s="219"/>
      <c r="T35" s="220"/>
      <c r="U35" s="221" t="s">
        <v>20</v>
      </c>
    </row>
    <row r="36" spans="1:21" ht="20.25" customHeight="1" x14ac:dyDescent="0.2">
      <c r="A36" s="232"/>
      <c r="B36" s="202"/>
      <c r="C36" s="203"/>
      <c r="D36" s="203"/>
      <c r="E36" s="203"/>
      <c r="F36" s="203"/>
      <c r="G36" s="203"/>
      <c r="H36" s="203"/>
      <c r="I36" s="204"/>
      <c r="J36" s="222"/>
      <c r="K36" s="56" t="s">
        <v>26</v>
      </c>
      <c r="L36" s="56" t="s">
        <v>27</v>
      </c>
      <c r="M36" s="56" t="s">
        <v>157</v>
      </c>
      <c r="N36" s="56" t="s">
        <v>158</v>
      </c>
      <c r="O36" s="5" t="s">
        <v>32</v>
      </c>
      <c r="P36" s="5" t="s">
        <v>6</v>
      </c>
      <c r="Q36" s="5" t="s">
        <v>29</v>
      </c>
      <c r="R36" s="5" t="s">
        <v>30</v>
      </c>
      <c r="S36" s="5" t="s">
        <v>26</v>
      </c>
      <c r="T36" s="5" t="s">
        <v>31</v>
      </c>
      <c r="U36" s="222"/>
    </row>
    <row r="37" spans="1:21" ht="38.25" customHeight="1" x14ac:dyDescent="0.2">
      <c r="A37" s="42" t="s">
        <v>168</v>
      </c>
      <c r="B37" s="192" t="s">
        <v>169</v>
      </c>
      <c r="C37" s="193"/>
      <c r="D37" s="193"/>
      <c r="E37" s="193"/>
      <c r="F37" s="193"/>
      <c r="G37" s="193"/>
      <c r="H37" s="193"/>
      <c r="I37" s="194"/>
      <c r="J37" s="11">
        <v>4</v>
      </c>
      <c r="K37" s="11">
        <v>2</v>
      </c>
      <c r="L37" s="11">
        <v>1</v>
      </c>
      <c r="M37" s="11">
        <v>0</v>
      </c>
      <c r="N37" s="11">
        <v>1</v>
      </c>
      <c r="O37" s="18">
        <f>K37+L37+M37+N37</f>
        <v>4</v>
      </c>
      <c r="P37" s="19">
        <f>Q37-O37</f>
        <v>3</v>
      </c>
      <c r="Q37" s="19">
        <f>ROUND(PRODUCT(J37,25)/14,0)</f>
        <v>7</v>
      </c>
      <c r="R37" s="24"/>
      <c r="S37" s="11" t="s">
        <v>26</v>
      </c>
      <c r="T37" s="25"/>
      <c r="U37" s="11" t="s">
        <v>35</v>
      </c>
    </row>
    <row r="38" spans="1:21" ht="38.25" customHeight="1" x14ac:dyDescent="0.2">
      <c r="A38" s="31" t="s">
        <v>102</v>
      </c>
      <c r="B38" s="192" t="s">
        <v>160</v>
      </c>
      <c r="C38" s="193"/>
      <c r="D38" s="193"/>
      <c r="E38" s="193"/>
      <c r="F38" s="193"/>
      <c r="G38" s="193"/>
      <c r="H38" s="193"/>
      <c r="I38" s="194"/>
      <c r="J38" s="11">
        <v>7</v>
      </c>
      <c r="K38" s="11">
        <v>2</v>
      </c>
      <c r="L38" s="11">
        <v>1</v>
      </c>
      <c r="M38" s="11">
        <v>0</v>
      </c>
      <c r="N38" s="11">
        <v>1</v>
      </c>
      <c r="O38" s="18">
        <f>K38+L38+M38+N38</f>
        <v>4</v>
      </c>
      <c r="P38" s="19">
        <f>Q38-O38</f>
        <v>9</v>
      </c>
      <c r="Q38" s="19">
        <f>ROUND(PRODUCT(J38,25)/14,0)</f>
        <v>13</v>
      </c>
      <c r="R38" s="24" t="s">
        <v>30</v>
      </c>
      <c r="S38" s="11"/>
      <c r="T38" s="25"/>
      <c r="U38" s="11" t="s">
        <v>35</v>
      </c>
    </row>
    <row r="39" spans="1:21" ht="25.5" customHeight="1" x14ac:dyDescent="0.2">
      <c r="A39" s="31" t="s">
        <v>103</v>
      </c>
      <c r="B39" s="192" t="s">
        <v>161</v>
      </c>
      <c r="C39" s="193"/>
      <c r="D39" s="193"/>
      <c r="E39" s="193"/>
      <c r="F39" s="193"/>
      <c r="G39" s="193"/>
      <c r="H39" s="193"/>
      <c r="I39" s="194"/>
      <c r="J39" s="11">
        <v>8</v>
      </c>
      <c r="K39" s="11">
        <v>2</v>
      </c>
      <c r="L39" s="11">
        <v>1</v>
      </c>
      <c r="M39" s="11">
        <v>0</v>
      </c>
      <c r="N39" s="11">
        <v>1</v>
      </c>
      <c r="O39" s="18">
        <f>K39+L39+M39+N39</f>
        <v>4</v>
      </c>
      <c r="P39" s="19">
        <f>Q39-O39</f>
        <v>10</v>
      </c>
      <c r="Q39" s="19">
        <f>ROUND(PRODUCT(J39,25)/14,0)</f>
        <v>14</v>
      </c>
      <c r="R39" s="24" t="s">
        <v>30</v>
      </c>
      <c r="S39" s="11"/>
      <c r="T39" s="25"/>
      <c r="U39" s="11" t="s">
        <v>37</v>
      </c>
    </row>
    <row r="40" spans="1:21" ht="25.5" customHeight="1" x14ac:dyDescent="0.2">
      <c r="A40" s="31" t="s">
        <v>119</v>
      </c>
      <c r="B40" s="192" t="s">
        <v>140</v>
      </c>
      <c r="C40" s="193"/>
      <c r="D40" s="193"/>
      <c r="E40" s="193"/>
      <c r="F40" s="193"/>
      <c r="G40" s="193"/>
      <c r="H40" s="193"/>
      <c r="I40" s="194"/>
      <c r="J40" s="11">
        <v>4</v>
      </c>
      <c r="K40" s="11">
        <v>0</v>
      </c>
      <c r="L40" s="11">
        <v>2</v>
      </c>
      <c r="M40" s="11">
        <v>1</v>
      </c>
      <c r="N40" s="11">
        <v>1</v>
      </c>
      <c r="O40" s="18">
        <f>K40+L40+M40+N40</f>
        <v>4</v>
      </c>
      <c r="P40" s="19">
        <f>Q40-O40</f>
        <v>3</v>
      </c>
      <c r="Q40" s="19">
        <f>ROUND(PRODUCT(J40,25)/14,0)</f>
        <v>7</v>
      </c>
      <c r="R40" s="24" t="s">
        <v>30</v>
      </c>
      <c r="S40" s="11"/>
      <c r="T40" s="25"/>
      <c r="U40" s="11" t="s">
        <v>37</v>
      </c>
    </row>
    <row r="41" spans="1:21" ht="20.25" customHeight="1" x14ac:dyDescent="0.2">
      <c r="A41" s="31" t="s">
        <v>104</v>
      </c>
      <c r="B41" s="227" t="s">
        <v>116</v>
      </c>
      <c r="C41" s="228"/>
      <c r="D41" s="228"/>
      <c r="E41" s="228"/>
      <c r="F41" s="228"/>
      <c r="G41" s="228"/>
      <c r="H41" s="228"/>
      <c r="I41" s="229"/>
      <c r="J41" s="11">
        <v>7</v>
      </c>
      <c r="K41" s="11">
        <v>2</v>
      </c>
      <c r="L41" s="11">
        <v>1</v>
      </c>
      <c r="M41" s="11">
        <v>0</v>
      </c>
      <c r="N41" s="11">
        <v>1</v>
      </c>
      <c r="O41" s="18">
        <f>K41+L41+M41+N41</f>
        <v>4</v>
      </c>
      <c r="P41" s="19">
        <f>Q41-O41</f>
        <v>9</v>
      </c>
      <c r="Q41" s="19">
        <f>ROUND(PRODUCT(J41,25)/14,0)</f>
        <v>13</v>
      </c>
      <c r="R41" s="24" t="s">
        <v>30</v>
      </c>
      <c r="S41" s="11"/>
      <c r="T41" s="25"/>
      <c r="U41" s="11" t="s">
        <v>35</v>
      </c>
    </row>
    <row r="42" spans="1:21" x14ac:dyDescent="0.2">
      <c r="A42" s="21" t="s">
        <v>23</v>
      </c>
      <c r="B42" s="147"/>
      <c r="C42" s="181"/>
      <c r="D42" s="181"/>
      <c r="E42" s="181"/>
      <c r="F42" s="181"/>
      <c r="G42" s="181"/>
      <c r="H42" s="181"/>
      <c r="I42" s="148"/>
      <c r="J42" s="21">
        <f t="shared" ref="J42:Q42" si="0">SUM(J37:J41)</f>
        <v>30</v>
      </c>
      <c r="K42" s="59">
        <f>SUM(K37:K41)</f>
        <v>8</v>
      </c>
      <c r="L42" s="21">
        <f t="shared" si="0"/>
        <v>6</v>
      </c>
      <c r="M42" s="21">
        <f t="shared" si="0"/>
        <v>1</v>
      </c>
      <c r="N42" s="21">
        <f t="shared" si="0"/>
        <v>5</v>
      </c>
      <c r="O42" s="21">
        <f t="shared" si="0"/>
        <v>20</v>
      </c>
      <c r="P42" s="21">
        <f t="shared" si="0"/>
        <v>34</v>
      </c>
      <c r="Q42" s="21">
        <f t="shared" si="0"/>
        <v>54</v>
      </c>
      <c r="R42" s="21">
        <f>COUNTIF(R37:R41,"E")</f>
        <v>4</v>
      </c>
      <c r="S42" s="21">
        <f>COUNTIF(S37:S41,"C")</f>
        <v>1</v>
      </c>
      <c r="T42" s="21">
        <f>COUNTIF(T37:T41,"VP")</f>
        <v>0</v>
      </c>
      <c r="U42" s="50">
        <f>COUNTA(U37:U41)</f>
        <v>5</v>
      </c>
    </row>
    <row r="43" spans="1:21" ht="19.5" customHeight="1" x14ac:dyDescent="0.2"/>
    <row r="44" spans="1:21" ht="16.5" customHeight="1" x14ac:dyDescent="0.2">
      <c r="A44" s="85" t="s">
        <v>41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7"/>
    </row>
    <row r="45" spans="1:21" ht="26.25" customHeight="1" x14ac:dyDescent="0.2">
      <c r="A45" s="231" t="s">
        <v>25</v>
      </c>
      <c r="B45" s="199" t="s">
        <v>24</v>
      </c>
      <c r="C45" s="200"/>
      <c r="D45" s="200"/>
      <c r="E45" s="200"/>
      <c r="F45" s="200"/>
      <c r="G45" s="200"/>
      <c r="H45" s="200"/>
      <c r="I45" s="201"/>
      <c r="J45" s="221" t="s">
        <v>38</v>
      </c>
      <c r="K45" s="79" t="s">
        <v>22</v>
      </c>
      <c r="L45" s="80"/>
      <c r="M45" s="80"/>
      <c r="N45" s="81"/>
      <c r="O45" s="216" t="s">
        <v>39</v>
      </c>
      <c r="P45" s="217"/>
      <c r="Q45" s="218"/>
      <c r="R45" s="216" t="s">
        <v>21</v>
      </c>
      <c r="S45" s="219"/>
      <c r="T45" s="220"/>
      <c r="U45" s="230" t="s">
        <v>20</v>
      </c>
    </row>
    <row r="46" spans="1:21" ht="12.75" customHeight="1" x14ac:dyDescent="0.2">
      <c r="A46" s="232"/>
      <c r="B46" s="202"/>
      <c r="C46" s="203"/>
      <c r="D46" s="203"/>
      <c r="E46" s="203"/>
      <c r="F46" s="203"/>
      <c r="G46" s="203"/>
      <c r="H46" s="203"/>
      <c r="I46" s="204"/>
      <c r="J46" s="222"/>
      <c r="K46" s="56" t="s">
        <v>26</v>
      </c>
      <c r="L46" s="5" t="s">
        <v>27</v>
      </c>
      <c r="M46" s="5" t="s">
        <v>157</v>
      </c>
      <c r="N46" s="5" t="s">
        <v>158</v>
      </c>
      <c r="O46" s="5" t="s">
        <v>32</v>
      </c>
      <c r="P46" s="5" t="s">
        <v>6</v>
      </c>
      <c r="Q46" s="5" t="s">
        <v>29</v>
      </c>
      <c r="R46" s="5" t="s">
        <v>30</v>
      </c>
      <c r="S46" s="5" t="s">
        <v>26</v>
      </c>
      <c r="T46" s="5" t="s">
        <v>31</v>
      </c>
      <c r="U46" s="222"/>
    </row>
    <row r="47" spans="1:21" ht="25.5" customHeight="1" x14ac:dyDescent="0.2">
      <c r="A47" s="42" t="s">
        <v>105</v>
      </c>
      <c r="B47" s="192" t="s">
        <v>162</v>
      </c>
      <c r="C47" s="193"/>
      <c r="D47" s="193"/>
      <c r="E47" s="193"/>
      <c r="F47" s="193"/>
      <c r="G47" s="193"/>
      <c r="H47" s="193"/>
      <c r="I47" s="194"/>
      <c r="J47" s="11">
        <v>7</v>
      </c>
      <c r="K47" s="11">
        <v>2</v>
      </c>
      <c r="L47" s="11">
        <v>1</v>
      </c>
      <c r="M47" s="11">
        <v>0</v>
      </c>
      <c r="N47" s="11">
        <v>1</v>
      </c>
      <c r="O47" s="48">
        <f>K47+L47+M47+N47</f>
        <v>4</v>
      </c>
      <c r="P47" s="19">
        <f>Q47-O47</f>
        <v>9</v>
      </c>
      <c r="Q47" s="19">
        <f>ROUND(PRODUCT(J47,25)/14,0)</f>
        <v>13</v>
      </c>
      <c r="R47" s="24" t="s">
        <v>30</v>
      </c>
      <c r="S47" s="11"/>
      <c r="T47" s="25"/>
      <c r="U47" s="11" t="s">
        <v>35</v>
      </c>
    </row>
    <row r="48" spans="1:21" ht="12.75" customHeight="1" x14ac:dyDescent="0.2">
      <c r="A48" s="31" t="s">
        <v>106</v>
      </c>
      <c r="B48" s="192" t="s">
        <v>141</v>
      </c>
      <c r="C48" s="193"/>
      <c r="D48" s="193"/>
      <c r="E48" s="193"/>
      <c r="F48" s="193"/>
      <c r="G48" s="193"/>
      <c r="H48" s="193"/>
      <c r="I48" s="194"/>
      <c r="J48" s="11">
        <v>6</v>
      </c>
      <c r="K48" s="11">
        <v>2</v>
      </c>
      <c r="L48" s="11">
        <v>1</v>
      </c>
      <c r="M48" s="11">
        <v>0</v>
      </c>
      <c r="N48" s="11">
        <v>1</v>
      </c>
      <c r="O48" s="48">
        <f>K48+L48+M48+N48</f>
        <v>4</v>
      </c>
      <c r="P48" s="19">
        <f>Q48-O48</f>
        <v>7</v>
      </c>
      <c r="Q48" s="19">
        <f>ROUND(PRODUCT(J48,25)/14,0)</f>
        <v>11</v>
      </c>
      <c r="R48" s="24" t="s">
        <v>30</v>
      </c>
      <c r="S48" s="11"/>
      <c r="T48" s="25"/>
      <c r="U48" s="11" t="s">
        <v>35</v>
      </c>
    </row>
    <row r="49" spans="1:21" ht="25.5" customHeight="1" x14ac:dyDescent="0.2">
      <c r="A49" s="31" t="s">
        <v>107</v>
      </c>
      <c r="B49" s="192" t="s">
        <v>163</v>
      </c>
      <c r="C49" s="193"/>
      <c r="D49" s="193"/>
      <c r="E49" s="193"/>
      <c r="F49" s="193"/>
      <c r="G49" s="193"/>
      <c r="H49" s="193"/>
      <c r="I49" s="194"/>
      <c r="J49" s="11">
        <v>6</v>
      </c>
      <c r="K49" s="11">
        <v>2</v>
      </c>
      <c r="L49" s="11">
        <v>1</v>
      </c>
      <c r="M49" s="11">
        <v>0</v>
      </c>
      <c r="N49" s="11">
        <v>1</v>
      </c>
      <c r="O49" s="48">
        <f>K49+L49+M49+N49</f>
        <v>4</v>
      </c>
      <c r="P49" s="19">
        <f>Q49-O49</f>
        <v>7</v>
      </c>
      <c r="Q49" s="19">
        <f>ROUND(PRODUCT(J49,25)/14,0)</f>
        <v>11</v>
      </c>
      <c r="R49" s="24" t="s">
        <v>30</v>
      </c>
      <c r="S49" s="11"/>
      <c r="T49" s="25"/>
      <c r="U49" s="11" t="s">
        <v>36</v>
      </c>
    </row>
    <row r="50" spans="1:21" ht="25.5" customHeight="1" x14ac:dyDescent="0.2">
      <c r="A50" s="31" t="s">
        <v>120</v>
      </c>
      <c r="B50" s="192" t="s">
        <v>142</v>
      </c>
      <c r="C50" s="193"/>
      <c r="D50" s="193"/>
      <c r="E50" s="193"/>
      <c r="F50" s="193"/>
      <c r="G50" s="193"/>
      <c r="H50" s="193"/>
      <c r="I50" s="194"/>
      <c r="J50" s="11">
        <v>4</v>
      </c>
      <c r="K50" s="11">
        <v>0</v>
      </c>
      <c r="L50" s="11">
        <v>2</v>
      </c>
      <c r="M50" s="11">
        <v>1</v>
      </c>
      <c r="N50" s="11">
        <v>1</v>
      </c>
      <c r="O50" s="48">
        <f>K50+L50+M50+N50</f>
        <v>4</v>
      </c>
      <c r="P50" s="19">
        <f>Q50-O50</f>
        <v>3</v>
      </c>
      <c r="Q50" s="19">
        <f>ROUND(PRODUCT(J50,25)/14,0)</f>
        <v>7</v>
      </c>
      <c r="R50" s="24" t="s">
        <v>30</v>
      </c>
      <c r="S50" s="11"/>
      <c r="T50" s="25"/>
      <c r="U50" s="11" t="s">
        <v>37</v>
      </c>
    </row>
    <row r="51" spans="1:21" x14ac:dyDescent="0.2">
      <c r="A51" s="31" t="s">
        <v>108</v>
      </c>
      <c r="B51" s="227" t="s">
        <v>117</v>
      </c>
      <c r="C51" s="228"/>
      <c r="D51" s="228"/>
      <c r="E51" s="228"/>
      <c r="F51" s="228"/>
      <c r="G51" s="228"/>
      <c r="H51" s="228"/>
      <c r="I51" s="229"/>
      <c r="J51" s="11">
        <v>7</v>
      </c>
      <c r="K51" s="11">
        <v>2</v>
      </c>
      <c r="L51" s="11">
        <v>1</v>
      </c>
      <c r="M51" s="11">
        <v>0</v>
      </c>
      <c r="N51" s="11">
        <v>1</v>
      </c>
      <c r="O51" s="48">
        <f>K51+L51+M51+N51</f>
        <v>4</v>
      </c>
      <c r="P51" s="19">
        <f>Q51-O51</f>
        <v>9</v>
      </c>
      <c r="Q51" s="19">
        <f>ROUND(PRODUCT(J51,25)/14,0)</f>
        <v>13</v>
      </c>
      <c r="R51" s="24" t="s">
        <v>30</v>
      </c>
      <c r="S51" s="11"/>
      <c r="T51" s="25"/>
      <c r="U51" s="11" t="s">
        <v>36</v>
      </c>
    </row>
    <row r="52" spans="1:21" x14ac:dyDescent="0.2">
      <c r="A52" s="21" t="s">
        <v>23</v>
      </c>
      <c r="B52" s="147"/>
      <c r="C52" s="181"/>
      <c r="D52" s="181"/>
      <c r="E52" s="181"/>
      <c r="F52" s="181"/>
      <c r="G52" s="181"/>
      <c r="H52" s="181"/>
      <c r="I52" s="148"/>
      <c r="J52" s="21">
        <f t="shared" ref="J52:Q52" si="1">SUM(J47:J51)</f>
        <v>30</v>
      </c>
      <c r="K52" s="59">
        <f>SUM(K47:K51)</f>
        <v>8</v>
      </c>
      <c r="L52" s="59">
        <f t="shared" ref="L52:O52" si="2">SUM(L47:L51)</f>
        <v>6</v>
      </c>
      <c r="M52" s="59">
        <f t="shared" si="2"/>
        <v>1</v>
      </c>
      <c r="N52" s="59">
        <f t="shared" si="2"/>
        <v>5</v>
      </c>
      <c r="O52" s="59">
        <f t="shared" si="2"/>
        <v>20</v>
      </c>
      <c r="P52" s="21">
        <f t="shared" si="1"/>
        <v>35</v>
      </c>
      <c r="Q52" s="21">
        <f t="shared" si="1"/>
        <v>55</v>
      </c>
      <c r="R52" s="21">
        <f>COUNTIF(R47:R51,"E")</f>
        <v>5</v>
      </c>
      <c r="S52" s="21">
        <f>COUNTIF(S47:S51,"C")</f>
        <v>0</v>
      </c>
      <c r="T52" s="21">
        <f>COUNTIF(T47:T51,"VP")</f>
        <v>0</v>
      </c>
      <c r="U52" s="50">
        <f>COUNTA(U47:U51)</f>
        <v>5</v>
      </c>
    </row>
    <row r="53" spans="1:21" ht="11.25" customHeight="1" x14ac:dyDescent="0.2"/>
    <row r="54" spans="1:21" x14ac:dyDescent="0.2">
      <c r="B54" s="8"/>
      <c r="C54" s="8"/>
      <c r="D54" s="8"/>
      <c r="E54" s="8"/>
      <c r="F54" s="8"/>
      <c r="G54" s="8"/>
      <c r="N54" s="8"/>
      <c r="O54" s="8"/>
      <c r="P54" s="8"/>
      <c r="Q54" s="8"/>
      <c r="R54" s="8"/>
      <c r="S54" s="8"/>
      <c r="T54" s="8"/>
    </row>
    <row r="56" spans="1:21" s="53" customFormat="1" x14ac:dyDescent="0.2">
      <c r="K56" s="62"/>
    </row>
    <row r="57" spans="1:21" s="53" customFormat="1" x14ac:dyDescent="0.2">
      <c r="K57" s="62"/>
    </row>
    <row r="58" spans="1:21" ht="18" customHeight="1" x14ac:dyDescent="0.2">
      <c r="A58" s="85" t="s">
        <v>42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7"/>
    </row>
    <row r="59" spans="1:21" ht="25.5" customHeight="1" x14ac:dyDescent="0.2">
      <c r="A59" s="231" t="s">
        <v>25</v>
      </c>
      <c r="B59" s="199" t="s">
        <v>24</v>
      </c>
      <c r="C59" s="200"/>
      <c r="D59" s="200"/>
      <c r="E59" s="200"/>
      <c r="F59" s="200"/>
      <c r="G59" s="200"/>
      <c r="H59" s="200"/>
      <c r="I59" s="201"/>
      <c r="J59" s="221" t="s">
        <v>38</v>
      </c>
      <c r="K59" s="79" t="s">
        <v>22</v>
      </c>
      <c r="L59" s="80"/>
      <c r="M59" s="80"/>
      <c r="N59" s="81"/>
      <c r="O59" s="216" t="s">
        <v>39</v>
      </c>
      <c r="P59" s="217"/>
      <c r="Q59" s="218"/>
      <c r="R59" s="216" t="s">
        <v>21</v>
      </c>
      <c r="S59" s="219"/>
      <c r="T59" s="220"/>
      <c r="U59" s="230" t="s">
        <v>20</v>
      </c>
    </row>
    <row r="60" spans="1:21" ht="16.5" customHeight="1" x14ac:dyDescent="0.2">
      <c r="A60" s="232"/>
      <c r="B60" s="202"/>
      <c r="C60" s="203"/>
      <c r="D60" s="203"/>
      <c r="E60" s="203"/>
      <c r="F60" s="203"/>
      <c r="G60" s="203"/>
      <c r="H60" s="203"/>
      <c r="I60" s="204"/>
      <c r="J60" s="222"/>
      <c r="K60" s="56" t="s">
        <v>26</v>
      </c>
      <c r="L60" s="56" t="s">
        <v>27</v>
      </c>
      <c r="M60" s="56" t="s">
        <v>157</v>
      </c>
      <c r="N60" s="56" t="s">
        <v>158</v>
      </c>
      <c r="O60" s="56" t="s">
        <v>32</v>
      </c>
      <c r="P60" s="5" t="s">
        <v>6</v>
      </c>
      <c r="Q60" s="5" t="s">
        <v>29</v>
      </c>
      <c r="R60" s="5" t="s">
        <v>30</v>
      </c>
      <c r="S60" s="5" t="s">
        <v>26</v>
      </c>
      <c r="T60" s="5" t="s">
        <v>31</v>
      </c>
      <c r="U60" s="222"/>
    </row>
    <row r="61" spans="1:21" ht="25.5" customHeight="1" x14ac:dyDescent="0.2">
      <c r="A61" s="42" t="s">
        <v>109</v>
      </c>
      <c r="B61" s="192" t="s">
        <v>167</v>
      </c>
      <c r="C61" s="193"/>
      <c r="D61" s="193"/>
      <c r="E61" s="193"/>
      <c r="F61" s="193"/>
      <c r="G61" s="193"/>
      <c r="H61" s="193"/>
      <c r="I61" s="194"/>
      <c r="J61" s="11">
        <v>8</v>
      </c>
      <c r="K61" s="11">
        <v>2</v>
      </c>
      <c r="L61" s="11">
        <v>1</v>
      </c>
      <c r="M61" s="11">
        <v>0</v>
      </c>
      <c r="N61" s="11">
        <v>1</v>
      </c>
      <c r="O61" s="48">
        <f>K61+L61+M61+N61</f>
        <v>4</v>
      </c>
      <c r="P61" s="19">
        <f>Q61-O61</f>
        <v>10</v>
      </c>
      <c r="Q61" s="19">
        <f>ROUND(PRODUCT(J61,25)/14,0)</f>
        <v>14</v>
      </c>
      <c r="R61" s="24" t="s">
        <v>30</v>
      </c>
      <c r="S61" s="11"/>
      <c r="T61" s="25"/>
      <c r="U61" s="11" t="s">
        <v>35</v>
      </c>
    </row>
    <row r="62" spans="1:21" ht="25.5" customHeight="1" x14ac:dyDescent="0.2">
      <c r="A62" s="31" t="s">
        <v>110</v>
      </c>
      <c r="B62" s="192" t="s">
        <v>143</v>
      </c>
      <c r="C62" s="193"/>
      <c r="D62" s="193"/>
      <c r="E62" s="193"/>
      <c r="F62" s="193"/>
      <c r="G62" s="193"/>
      <c r="H62" s="193"/>
      <c r="I62" s="194"/>
      <c r="J62" s="11">
        <v>8</v>
      </c>
      <c r="K62" s="11">
        <v>2</v>
      </c>
      <c r="L62" s="11">
        <v>1</v>
      </c>
      <c r="M62" s="11">
        <v>0</v>
      </c>
      <c r="N62" s="11">
        <v>1</v>
      </c>
      <c r="O62" s="48">
        <f>K62+L62+M62+N62</f>
        <v>4</v>
      </c>
      <c r="P62" s="19">
        <f>Q62-O62</f>
        <v>10</v>
      </c>
      <c r="Q62" s="19">
        <f>ROUND(PRODUCT(J62,25)/14,0)</f>
        <v>14</v>
      </c>
      <c r="R62" s="24" t="s">
        <v>30</v>
      </c>
      <c r="S62" s="11"/>
      <c r="T62" s="25"/>
      <c r="U62" s="11" t="s">
        <v>35</v>
      </c>
    </row>
    <row r="63" spans="1:21" ht="25.5" customHeight="1" x14ac:dyDescent="0.2">
      <c r="A63" s="31" t="s">
        <v>111</v>
      </c>
      <c r="B63" s="192" t="s">
        <v>164</v>
      </c>
      <c r="C63" s="193"/>
      <c r="D63" s="193"/>
      <c r="E63" s="193"/>
      <c r="F63" s="193"/>
      <c r="G63" s="193"/>
      <c r="H63" s="193"/>
      <c r="I63" s="194"/>
      <c r="J63" s="11">
        <v>3</v>
      </c>
      <c r="K63" s="11">
        <v>0</v>
      </c>
      <c r="L63" s="11">
        <v>0</v>
      </c>
      <c r="M63" s="11">
        <v>0</v>
      </c>
      <c r="N63" s="11">
        <v>1</v>
      </c>
      <c r="O63" s="48">
        <f>K63+L63+M63+N63</f>
        <v>1</v>
      </c>
      <c r="P63" s="19">
        <f>Q63-O63</f>
        <v>4</v>
      </c>
      <c r="Q63" s="19">
        <f>ROUND(PRODUCT(J63,25)/14,0)</f>
        <v>5</v>
      </c>
      <c r="R63" s="24" t="s">
        <v>30</v>
      </c>
      <c r="S63" s="11"/>
      <c r="T63" s="25"/>
      <c r="U63" s="11" t="s">
        <v>36</v>
      </c>
    </row>
    <row r="64" spans="1:21" ht="25.5" customHeight="1" x14ac:dyDescent="0.2">
      <c r="A64" s="31" t="s">
        <v>121</v>
      </c>
      <c r="B64" s="192" t="s">
        <v>144</v>
      </c>
      <c r="C64" s="193"/>
      <c r="D64" s="193"/>
      <c r="E64" s="193"/>
      <c r="F64" s="193"/>
      <c r="G64" s="193"/>
      <c r="H64" s="193"/>
      <c r="I64" s="194"/>
      <c r="J64" s="11">
        <v>4</v>
      </c>
      <c r="K64" s="11">
        <v>0</v>
      </c>
      <c r="L64" s="11">
        <v>2</v>
      </c>
      <c r="M64" s="11">
        <v>1</v>
      </c>
      <c r="N64" s="11">
        <v>1</v>
      </c>
      <c r="O64" s="48">
        <f>K64+L64+M64+N64</f>
        <v>4</v>
      </c>
      <c r="P64" s="19">
        <f>Q64-O64</f>
        <v>3</v>
      </c>
      <c r="Q64" s="19">
        <f>ROUND(PRODUCT(J64,25)/14,0)</f>
        <v>7</v>
      </c>
      <c r="R64" s="24" t="s">
        <v>30</v>
      </c>
      <c r="S64" s="11"/>
      <c r="T64" s="25"/>
      <c r="U64" s="11" t="s">
        <v>37</v>
      </c>
    </row>
    <row r="65" spans="1:21" x14ac:dyDescent="0.2">
      <c r="A65" s="31" t="s">
        <v>112</v>
      </c>
      <c r="B65" s="227" t="s">
        <v>118</v>
      </c>
      <c r="C65" s="228"/>
      <c r="D65" s="228"/>
      <c r="E65" s="228"/>
      <c r="F65" s="228"/>
      <c r="G65" s="228"/>
      <c r="H65" s="228"/>
      <c r="I65" s="229"/>
      <c r="J65" s="11">
        <v>7</v>
      </c>
      <c r="K65" s="11">
        <v>2</v>
      </c>
      <c r="L65" s="11">
        <v>1</v>
      </c>
      <c r="M65" s="11">
        <v>0</v>
      </c>
      <c r="N65" s="11">
        <v>1</v>
      </c>
      <c r="O65" s="48">
        <f>K65+L65+M65+N65</f>
        <v>4</v>
      </c>
      <c r="P65" s="19">
        <f>Q65-O65</f>
        <v>9</v>
      </c>
      <c r="Q65" s="19">
        <f>ROUND(PRODUCT(J65,25)/14,0)</f>
        <v>13</v>
      </c>
      <c r="R65" s="24" t="s">
        <v>30</v>
      </c>
      <c r="S65" s="11"/>
      <c r="T65" s="25"/>
      <c r="U65" s="11" t="s">
        <v>36</v>
      </c>
    </row>
    <row r="66" spans="1:21" x14ac:dyDescent="0.2">
      <c r="A66" s="21" t="s">
        <v>23</v>
      </c>
      <c r="B66" s="147"/>
      <c r="C66" s="181"/>
      <c r="D66" s="181"/>
      <c r="E66" s="181"/>
      <c r="F66" s="181"/>
      <c r="G66" s="181"/>
      <c r="H66" s="181"/>
      <c r="I66" s="148"/>
      <c r="J66" s="21">
        <f t="shared" ref="J66:Q66" si="3">SUM(J61:J65)</f>
        <v>30</v>
      </c>
      <c r="K66" s="59">
        <f>SUM(K61:K65)</f>
        <v>6</v>
      </c>
      <c r="L66" s="59">
        <f t="shared" ref="L66:O66" si="4">SUM(L61:L65)</f>
        <v>5</v>
      </c>
      <c r="M66" s="59">
        <f t="shared" si="4"/>
        <v>1</v>
      </c>
      <c r="N66" s="59">
        <f t="shared" si="4"/>
        <v>5</v>
      </c>
      <c r="O66" s="59">
        <f t="shared" si="4"/>
        <v>17</v>
      </c>
      <c r="P66" s="21">
        <f t="shared" si="3"/>
        <v>36</v>
      </c>
      <c r="Q66" s="21">
        <f t="shared" si="3"/>
        <v>53</v>
      </c>
      <c r="R66" s="21">
        <f>COUNTIF(R61:R65,"E")</f>
        <v>5</v>
      </c>
      <c r="S66" s="21">
        <f>COUNTIF(S61:S65,"C")</f>
        <v>0</v>
      </c>
      <c r="T66" s="21">
        <f>COUNTIF(T61:T65,"VP")</f>
        <v>0</v>
      </c>
      <c r="U66" s="50">
        <f>COUNTA(U61:U65)</f>
        <v>5</v>
      </c>
    </row>
    <row r="67" spans="1:21" s="53" customFormat="1" x14ac:dyDescent="0.2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4"/>
    </row>
    <row r="68" spans="1:21" s="53" customFormat="1" x14ac:dyDescent="0.2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4"/>
    </row>
    <row r="69" spans="1:21" ht="21.75" customHeight="1" x14ac:dyDescent="0.2"/>
    <row r="70" spans="1:21" ht="18.75" customHeight="1" x14ac:dyDescent="0.2">
      <c r="A70" s="85" t="s">
        <v>43</v>
      </c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7"/>
    </row>
    <row r="71" spans="1:21" ht="24.75" customHeight="1" x14ac:dyDescent="0.2">
      <c r="A71" s="231" t="s">
        <v>25</v>
      </c>
      <c r="B71" s="199" t="s">
        <v>24</v>
      </c>
      <c r="C71" s="200"/>
      <c r="D71" s="200"/>
      <c r="E71" s="200"/>
      <c r="F71" s="200"/>
      <c r="G71" s="200"/>
      <c r="H71" s="200"/>
      <c r="I71" s="201"/>
      <c r="J71" s="221" t="s">
        <v>38</v>
      </c>
      <c r="K71" s="79" t="s">
        <v>22</v>
      </c>
      <c r="L71" s="80"/>
      <c r="M71" s="80"/>
      <c r="N71" s="81"/>
      <c r="O71" s="216" t="s">
        <v>39</v>
      </c>
      <c r="P71" s="217"/>
      <c r="Q71" s="218"/>
      <c r="R71" s="216" t="s">
        <v>21</v>
      </c>
      <c r="S71" s="219"/>
      <c r="T71" s="220"/>
      <c r="U71" s="230" t="s">
        <v>20</v>
      </c>
    </row>
    <row r="72" spans="1:21" x14ac:dyDescent="0.2">
      <c r="A72" s="232"/>
      <c r="B72" s="202"/>
      <c r="C72" s="203"/>
      <c r="D72" s="203"/>
      <c r="E72" s="203"/>
      <c r="F72" s="203"/>
      <c r="G72" s="203"/>
      <c r="H72" s="203"/>
      <c r="I72" s="204"/>
      <c r="J72" s="222"/>
      <c r="K72" s="56" t="s">
        <v>26</v>
      </c>
      <c r="L72" s="56" t="s">
        <v>27</v>
      </c>
      <c r="M72" s="56" t="s">
        <v>157</v>
      </c>
      <c r="N72" s="56" t="s">
        <v>158</v>
      </c>
      <c r="O72" s="56" t="s">
        <v>32</v>
      </c>
      <c r="P72" s="5" t="s">
        <v>6</v>
      </c>
      <c r="Q72" s="5" t="s">
        <v>29</v>
      </c>
      <c r="R72" s="5" t="s">
        <v>30</v>
      </c>
      <c r="S72" s="5" t="s">
        <v>26</v>
      </c>
      <c r="T72" s="5" t="s">
        <v>31</v>
      </c>
      <c r="U72" s="222"/>
    </row>
    <row r="73" spans="1:21" x14ac:dyDescent="0.2">
      <c r="A73" s="49" t="s">
        <v>113</v>
      </c>
      <c r="B73" s="227" t="s">
        <v>145</v>
      </c>
      <c r="C73" s="228"/>
      <c r="D73" s="228"/>
      <c r="E73" s="228"/>
      <c r="F73" s="228"/>
      <c r="G73" s="228"/>
      <c r="H73" s="228"/>
      <c r="I73" s="229"/>
      <c r="J73" s="11">
        <v>20</v>
      </c>
      <c r="K73" s="11">
        <v>0</v>
      </c>
      <c r="L73" s="11">
        <v>0</v>
      </c>
      <c r="M73" s="11">
        <v>4</v>
      </c>
      <c r="N73" s="11">
        <v>12</v>
      </c>
      <c r="O73" s="48">
        <f>K73+L73+M73+N73</f>
        <v>16</v>
      </c>
      <c r="P73" s="19">
        <f>Q73-O73</f>
        <v>26</v>
      </c>
      <c r="Q73" s="19">
        <f>ROUND(PRODUCT(J73,25)/12,0)</f>
        <v>42</v>
      </c>
      <c r="R73" s="24"/>
      <c r="S73" s="11" t="s">
        <v>26</v>
      </c>
      <c r="T73" s="25"/>
      <c r="U73" s="11" t="s">
        <v>36</v>
      </c>
    </row>
    <row r="74" spans="1:21" ht="38.25" customHeight="1" x14ac:dyDescent="0.2">
      <c r="A74" s="31" t="s">
        <v>114</v>
      </c>
      <c r="B74" s="192" t="s">
        <v>165</v>
      </c>
      <c r="C74" s="193"/>
      <c r="D74" s="193"/>
      <c r="E74" s="193"/>
      <c r="F74" s="193"/>
      <c r="G74" s="193"/>
      <c r="H74" s="193"/>
      <c r="I74" s="194"/>
      <c r="J74" s="11">
        <v>6</v>
      </c>
      <c r="K74" s="11">
        <v>0</v>
      </c>
      <c r="L74" s="11">
        <v>0</v>
      </c>
      <c r="M74" s="11">
        <v>1</v>
      </c>
      <c r="N74" s="11">
        <v>2</v>
      </c>
      <c r="O74" s="48">
        <f>K74+L74+M74+N74</f>
        <v>3</v>
      </c>
      <c r="P74" s="19">
        <f>Q74-O74</f>
        <v>10</v>
      </c>
      <c r="Q74" s="19">
        <f>ROUND(PRODUCT(J74,25)/12,0)</f>
        <v>13</v>
      </c>
      <c r="R74" s="24"/>
      <c r="S74" s="11" t="s">
        <v>26</v>
      </c>
      <c r="T74" s="25"/>
      <c r="U74" s="11" t="s">
        <v>36</v>
      </c>
    </row>
    <row r="75" spans="1:21" ht="25.5" customHeight="1" x14ac:dyDescent="0.2">
      <c r="A75" s="31" t="s">
        <v>115</v>
      </c>
      <c r="B75" s="192" t="s">
        <v>146</v>
      </c>
      <c r="C75" s="193"/>
      <c r="D75" s="193"/>
      <c r="E75" s="193"/>
      <c r="F75" s="193"/>
      <c r="G75" s="193"/>
      <c r="H75" s="193"/>
      <c r="I75" s="194"/>
      <c r="J75" s="11">
        <v>4</v>
      </c>
      <c r="K75" s="11">
        <v>0</v>
      </c>
      <c r="L75" s="11">
        <v>0</v>
      </c>
      <c r="M75" s="11">
        <v>0</v>
      </c>
      <c r="N75" s="11">
        <v>5</v>
      </c>
      <c r="O75" s="48">
        <f>K75+L75+M75+N75</f>
        <v>5</v>
      </c>
      <c r="P75" s="19">
        <f>Q75-O75</f>
        <v>3</v>
      </c>
      <c r="Q75" s="19">
        <f>ROUND(PRODUCT(J75,25)/12,0)</f>
        <v>8</v>
      </c>
      <c r="R75" s="24"/>
      <c r="S75" s="11"/>
      <c r="T75" s="25" t="s">
        <v>31</v>
      </c>
      <c r="U75" s="11" t="s">
        <v>36</v>
      </c>
    </row>
    <row r="76" spans="1:21" x14ac:dyDescent="0.2">
      <c r="A76" s="21" t="s">
        <v>23</v>
      </c>
      <c r="B76" s="147"/>
      <c r="C76" s="181"/>
      <c r="D76" s="181"/>
      <c r="E76" s="181"/>
      <c r="F76" s="181"/>
      <c r="G76" s="181"/>
      <c r="H76" s="181"/>
      <c r="I76" s="148"/>
      <c r="J76" s="21">
        <f t="shared" ref="J76:Q76" si="5">SUM(J73:J75)</f>
        <v>30</v>
      </c>
      <c r="K76" s="59">
        <f>SUM(K73:K75)</f>
        <v>0</v>
      </c>
      <c r="L76" s="21">
        <f t="shared" si="5"/>
        <v>0</v>
      </c>
      <c r="M76" s="21">
        <f t="shared" si="5"/>
        <v>5</v>
      </c>
      <c r="N76" s="21">
        <f t="shared" si="5"/>
        <v>19</v>
      </c>
      <c r="O76" s="21">
        <f t="shared" si="5"/>
        <v>24</v>
      </c>
      <c r="P76" s="21">
        <f t="shared" si="5"/>
        <v>39</v>
      </c>
      <c r="Q76" s="21">
        <f t="shared" si="5"/>
        <v>63</v>
      </c>
      <c r="R76" s="21">
        <f>COUNTIF(R73:R75,"E")</f>
        <v>0</v>
      </c>
      <c r="S76" s="21">
        <f>COUNTIF(S73:S75,"C")</f>
        <v>2</v>
      </c>
      <c r="T76" s="21">
        <f>COUNTIF(T73:T75,"VP")</f>
        <v>1</v>
      </c>
      <c r="U76" s="50">
        <f>COUNTA(U73:U75)</f>
        <v>3</v>
      </c>
    </row>
    <row r="77" spans="1:21" ht="9" customHeight="1" x14ac:dyDescent="0.2"/>
    <row r="78" spans="1:21" x14ac:dyDescent="0.2">
      <c r="B78" s="2"/>
      <c r="C78" s="2"/>
      <c r="D78" s="2"/>
      <c r="E78" s="2"/>
      <c r="F78" s="2"/>
      <c r="G78" s="2"/>
      <c r="N78" s="8"/>
      <c r="O78" s="8"/>
      <c r="P78" s="8"/>
      <c r="Q78" s="8"/>
      <c r="R78" s="8"/>
      <c r="S78" s="8"/>
      <c r="T78" s="8"/>
    </row>
    <row r="79" spans="1:21" s="73" customFormat="1" x14ac:dyDescent="0.2">
      <c r="B79" s="72"/>
      <c r="C79" s="72"/>
      <c r="D79" s="72"/>
      <c r="E79" s="72"/>
      <c r="F79" s="72"/>
      <c r="G79" s="72"/>
      <c r="N79" s="71"/>
      <c r="O79" s="71"/>
      <c r="P79" s="71"/>
      <c r="Q79" s="71"/>
      <c r="R79" s="71"/>
      <c r="S79" s="71"/>
      <c r="T79" s="71"/>
    </row>
    <row r="80" spans="1:21" s="73" customFormat="1" x14ac:dyDescent="0.2">
      <c r="B80" s="72"/>
      <c r="C80" s="72"/>
      <c r="D80" s="72"/>
      <c r="E80" s="72"/>
      <c r="F80" s="72"/>
      <c r="G80" s="72"/>
      <c r="N80" s="71"/>
      <c r="O80" s="71"/>
      <c r="P80" s="71"/>
      <c r="Q80" s="71"/>
      <c r="R80" s="71"/>
      <c r="S80" s="71"/>
      <c r="T80" s="71"/>
    </row>
    <row r="81" spans="1:21" s="73" customFormat="1" x14ac:dyDescent="0.2">
      <c r="B81" s="72"/>
      <c r="C81" s="72"/>
      <c r="D81" s="72"/>
      <c r="E81" s="72"/>
      <c r="F81" s="72"/>
      <c r="G81" s="72"/>
      <c r="N81" s="71"/>
      <c r="O81" s="71"/>
      <c r="P81" s="71"/>
      <c r="Q81" s="71"/>
      <c r="R81" s="71"/>
      <c r="S81" s="71"/>
      <c r="T81" s="71"/>
    </row>
    <row r="82" spans="1:21" s="53" customFormat="1" x14ac:dyDescent="0.2">
      <c r="B82" s="54"/>
      <c r="C82" s="54"/>
      <c r="D82" s="54"/>
      <c r="E82" s="54"/>
      <c r="F82" s="54"/>
      <c r="G82" s="54"/>
      <c r="K82" s="62"/>
      <c r="N82" s="55"/>
      <c r="O82" s="55"/>
      <c r="P82" s="55"/>
      <c r="Q82" s="55"/>
      <c r="R82" s="55"/>
      <c r="S82" s="55"/>
      <c r="T82" s="55"/>
    </row>
    <row r="83" spans="1:21" s="53" customFormat="1" x14ac:dyDescent="0.2">
      <c r="B83" s="54"/>
      <c r="C83" s="54"/>
      <c r="D83" s="54"/>
      <c r="E83" s="54"/>
      <c r="F83" s="54"/>
      <c r="G83" s="54"/>
      <c r="K83" s="62"/>
      <c r="N83" s="55"/>
      <c r="O83" s="55"/>
      <c r="P83" s="55"/>
      <c r="Q83" s="55"/>
      <c r="R83" s="55"/>
      <c r="S83" s="55"/>
      <c r="T83" s="55"/>
    </row>
    <row r="84" spans="1:21" s="53" customFormat="1" x14ac:dyDescent="0.2">
      <c r="B84" s="54"/>
      <c r="C84" s="54"/>
      <c r="D84" s="54"/>
      <c r="E84" s="54"/>
      <c r="F84" s="54"/>
      <c r="G84" s="54"/>
      <c r="K84" s="62"/>
      <c r="N84" s="55"/>
      <c r="O84" s="55"/>
      <c r="P84" s="55"/>
      <c r="Q84" s="55"/>
      <c r="R84" s="55"/>
      <c r="S84" s="55"/>
      <c r="T84" s="55"/>
    </row>
    <row r="85" spans="1:21" s="53" customFormat="1" x14ac:dyDescent="0.2">
      <c r="B85" s="54"/>
      <c r="C85" s="54"/>
      <c r="D85" s="54"/>
      <c r="E85" s="54"/>
      <c r="F85" s="54"/>
      <c r="G85" s="54"/>
      <c r="K85" s="62"/>
      <c r="N85" s="55"/>
      <c r="O85" s="55"/>
      <c r="P85" s="55"/>
      <c r="Q85" s="55"/>
      <c r="R85" s="55"/>
      <c r="S85" s="55"/>
      <c r="T85" s="55"/>
    </row>
    <row r="86" spans="1:21" ht="19.5" customHeight="1" x14ac:dyDescent="0.2">
      <c r="A86" s="203" t="s">
        <v>44</v>
      </c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3"/>
      <c r="Q86" s="203"/>
      <c r="R86" s="203"/>
      <c r="S86" s="203"/>
      <c r="T86" s="203"/>
      <c r="U86" s="203"/>
    </row>
    <row r="87" spans="1:21" ht="27.75" customHeight="1" x14ac:dyDescent="0.2">
      <c r="A87" s="231" t="s">
        <v>25</v>
      </c>
      <c r="B87" s="199" t="s">
        <v>24</v>
      </c>
      <c r="C87" s="200"/>
      <c r="D87" s="200"/>
      <c r="E87" s="200"/>
      <c r="F87" s="200"/>
      <c r="G87" s="200"/>
      <c r="H87" s="200"/>
      <c r="I87" s="201"/>
      <c r="J87" s="221" t="s">
        <v>38</v>
      </c>
      <c r="K87" s="79" t="s">
        <v>22</v>
      </c>
      <c r="L87" s="80"/>
      <c r="M87" s="80"/>
      <c r="N87" s="81"/>
      <c r="O87" s="132" t="s">
        <v>39</v>
      </c>
      <c r="P87" s="142"/>
      <c r="Q87" s="142"/>
      <c r="R87" s="132" t="s">
        <v>21</v>
      </c>
      <c r="S87" s="132"/>
      <c r="T87" s="132"/>
      <c r="U87" s="132" t="s">
        <v>20</v>
      </c>
    </row>
    <row r="88" spans="1:21" ht="12.75" customHeight="1" x14ac:dyDescent="0.2">
      <c r="A88" s="232"/>
      <c r="B88" s="202"/>
      <c r="C88" s="203"/>
      <c r="D88" s="203"/>
      <c r="E88" s="203"/>
      <c r="F88" s="203"/>
      <c r="G88" s="203"/>
      <c r="H88" s="203"/>
      <c r="I88" s="204"/>
      <c r="J88" s="222"/>
      <c r="K88" s="56" t="s">
        <v>26</v>
      </c>
      <c r="L88" s="5" t="s">
        <v>27</v>
      </c>
      <c r="M88" s="5" t="s">
        <v>157</v>
      </c>
      <c r="N88" s="5" t="s">
        <v>158</v>
      </c>
      <c r="O88" s="5" t="s">
        <v>32</v>
      </c>
      <c r="P88" s="5" t="s">
        <v>6</v>
      </c>
      <c r="Q88" s="5" t="s">
        <v>29</v>
      </c>
      <c r="R88" s="5" t="s">
        <v>30</v>
      </c>
      <c r="S88" s="5" t="s">
        <v>26</v>
      </c>
      <c r="T88" s="5" t="s">
        <v>31</v>
      </c>
      <c r="U88" s="132"/>
    </row>
    <row r="89" spans="1:21" x14ac:dyDescent="0.2">
      <c r="A89" s="241" t="s">
        <v>122</v>
      </c>
      <c r="B89" s="242"/>
      <c r="C89" s="242"/>
      <c r="D89" s="242"/>
      <c r="E89" s="242"/>
      <c r="F89" s="242"/>
      <c r="G89" s="242"/>
      <c r="H89" s="242"/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3"/>
    </row>
    <row r="90" spans="1:21" x14ac:dyDescent="0.2">
      <c r="A90" s="32" t="s">
        <v>128</v>
      </c>
      <c r="B90" s="196" t="s">
        <v>166</v>
      </c>
      <c r="C90" s="197"/>
      <c r="D90" s="197"/>
      <c r="E90" s="197"/>
      <c r="F90" s="197"/>
      <c r="G90" s="197"/>
      <c r="H90" s="197"/>
      <c r="I90" s="198"/>
      <c r="J90" s="26">
        <v>7</v>
      </c>
      <c r="K90" s="26">
        <v>2</v>
      </c>
      <c r="L90" s="26">
        <v>1</v>
      </c>
      <c r="M90" s="26">
        <v>0</v>
      </c>
      <c r="N90" s="26">
        <v>1</v>
      </c>
      <c r="O90" s="19">
        <f>K90+L90+M90+N90</f>
        <v>4</v>
      </c>
      <c r="P90" s="19">
        <f>Q90-O90</f>
        <v>9</v>
      </c>
      <c r="Q90" s="19">
        <f>ROUND(PRODUCT(J90,25)/14,0)</f>
        <v>13</v>
      </c>
      <c r="R90" s="26" t="s">
        <v>30</v>
      </c>
      <c r="S90" s="26"/>
      <c r="T90" s="27"/>
      <c r="U90" s="11" t="s">
        <v>35</v>
      </c>
    </row>
    <row r="91" spans="1:21" x14ac:dyDescent="0.2">
      <c r="A91" s="32" t="s">
        <v>129</v>
      </c>
      <c r="B91" s="196" t="s">
        <v>147</v>
      </c>
      <c r="C91" s="197"/>
      <c r="D91" s="197"/>
      <c r="E91" s="197"/>
      <c r="F91" s="197"/>
      <c r="G91" s="197"/>
      <c r="H91" s="197"/>
      <c r="I91" s="198"/>
      <c r="J91" s="26">
        <v>7</v>
      </c>
      <c r="K91" s="26">
        <v>2</v>
      </c>
      <c r="L91" s="26">
        <v>1</v>
      </c>
      <c r="M91" s="26">
        <v>0</v>
      </c>
      <c r="N91" s="26">
        <v>1</v>
      </c>
      <c r="O91" s="19">
        <f>K91+L91+M91+N91</f>
        <v>4</v>
      </c>
      <c r="P91" s="19">
        <f t="shared" ref="P91:P99" si="6">Q91-O91</f>
        <v>9</v>
      </c>
      <c r="Q91" s="19">
        <f>ROUND(PRODUCT(J91,25)/14,0)</f>
        <v>13</v>
      </c>
      <c r="R91" s="26" t="s">
        <v>30</v>
      </c>
      <c r="S91" s="26"/>
      <c r="T91" s="27"/>
      <c r="U91" s="11" t="s">
        <v>35</v>
      </c>
    </row>
    <row r="92" spans="1:21" ht="25.5" customHeight="1" x14ac:dyDescent="0.2">
      <c r="A92" s="34" t="s">
        <v>135</v>
      </c>
      <c r="B92" s="247" t="s">
        <v>148</v>
      </c>
      <c r="C92" s="248"/>
      <c r="D92" s="248"/>
      <c r="E92" s="248"/>
      <c r="F92" s="248"/>
      <c r="G92" s="248"/>
      <c r="H92" s="248"/>
      <c r="I92" s="249"/>
      <c r="J92" s="26">
        <v>7</v>
      </c>
      <c r="K92" s="26">
        <v>2</v>
      </c>
      <c r="L92" s="26">
        <v>1</v>
      </c>
      <c r="M92" s="26">
        <v>0</v>
      </c>
      <c r="N92" s="26">
        <v>1</v>
      </c>
      <c r="O92" s="19">
        <f>K92+L92+M92+N92</f>
        <v>4</v>
      </c>
      <c r="P92" s="19">
        <f>Q92-O92</f>
        <v>9</v>
      </c>
      <c r="Q92" s="19">
        <f>ROUND(PRODUCT(J92,25)/14,0)</f>
        <v>13</v>
      </c>
      <c r="R92" s="26" t="s">
        <v>30</v>
      </c>
      <c r="S92" s="26"/>
      <c r="T92" s="27"/>
      <c r="U92" s="11" t="s">
        <v>35</v>
      </c>
    </row>
    <row r="93" spans="1:21" x14ac:dyDescent="0.2">
      <c r="A93" s="34" t="s">
        <v>136</v>
      </c>
      <c r="B93" s="196" t="s">
        <v>149</v>
      </c>
      <c r="C93" s="197"/>
      <c r="D93" s="197"/>
      <c r="E93" s="197"/>
      <c r="F93" s="197"/>
      <c r="G93" s="197"/>
      <c r="H93" s="197"/>
      <c r="I93" s="198"/>
      <c r="J93" s="26">
        <v>7</v>
      </c>
      <c r="K93" s="26">
        <v>2</v>
      </c>
      <c r="L93" s="26">
        <v>1</v>
      </c>
      <c r="M93" s="26">
        <v>0</v>
      </c>
      <c r="N93" s="26">
        <v>1</v>
      </c>
      <c r="O93" s="19">
        <f>K93+L93+M93+N93</f>
        <v>4</v>
      </c>
      <c r="P93" s="19">
        <f>Q93-O93</f>
        <v>9</v>
      </c>
      <c r="Q93" s="19">
        <f>ROUND(PRODUCT(J93,25)/14,0)</f>
        <v>13</v>
      </c>
      <c r="R93" s="26" t="s">
        <v>30</v>
      </c>
      <c r="S93" s="26"/>
      <c r="T93" s="27"/>
      <c r="U93" s="11" t="s">
        <v>35</v>
      </c>
    </row>
    <row r="94" spans="1:21" x14ac:dyDescent="0.2">
      <c r="A94" s="244" t="s">
        <v>123</v>
      </c>
      <c r="B94" s="245"/>
      <c r="C94" s="245"/>
      <c r="D94" s="245"/>
      <c r="E94" s="245"/>
      <c r="F94" s="245"/>
      <c r="G94" s="245"/>
      <c r="H94" s="245"/>
      <c r="I94" s="245"/>
      <c r="J94" s="245"/>
      <c r="K94" s="245"/>
      <c r="L94" s="245"/>
      <c r="M94" s="245"/>
      <c r="N94" s="245"/>
      <c r="O94" s="245"/>
      <c r="P94" s="245"/>
      <c r="Q94" s="245"/>
      <c r="R94" s="245"/>
      <c r="S94" s="245"/>
      <c r="T94" s="245"/>
      <c r="U94" s="246"/>
    </row>
    <row r="95" spans="1:21" ht="25.5" customHeight="1" x14ac:dyDescent="0.2">
      <c r="A95" s="32" t="s">
        <v>131</v>
      </c>
      <c r="B95" s="247" t="s">
        <v>151</v>
      </c>
      <c r="C95" s="248"/>
      <c r="D95" s="248"/>
      <c r="E95" s="248"/>
      <c r="F95" s="248"/>
      <c r="G95" s="248"/>
      <c r="H95" s="248"/>
      <c r="I95" s="249"/>
      <c r="J95" s="26">
        <v>7</v>
      </c>
      <c r="K95" s="26">
        <v>2</v>
      </c>
      <c r="L95" s="26">
        <v>1</v>
      </c>
      <c r="M95" s="26">
        <v>0</v>
      </c>
      <c r="N95" s="26">
        <v>1</v>
      </c>
      <c r="O95" s="19">
        <f>K95+L95+M95+N95</f>
        <v>4</v>
      </c>
      <c r="P95" s="19">
        <f t="shared" si="6"/>
        <v>9</v>
      </c>
      <c r="Q95" s="19">
        <f>ROUND(PRODUCT(J95,25)/14,0)</f>
        <v>13</v>
      </c>
      <c r="R95" s="26" t="s">
        <v>30</v>
      </c>
      <c r="S95" s="26"/>
      <c r="T95" s="27"/>
      <c r="U95" s="11" t="s">
        <v>36</v>
      </c>
    </row>
    <row r="96" spans="1:21" ht="25.5" customHeight="1" x14ac:dyDescent="0.2">
      <c r="A96" s="34" t="s">
        <v>134</v>
      </c>
      <c r="B96" s="247" t="s">
        <v>150</v>
      </c>
      <c r="C96" s="248"/>
      <c r="D96" s="248"/>
      <c r="E96" s="248"/>
      <c r="F96" s="248"/>
      <c r="G96" s="248"/>
      <c r="H96" s="248"/>
      <c r="I96" s="249"/>
      <c r="J96" s="26">
        <v>7</v>
      </c>
      <c r="K96" s="26">
        <v>2</v>
      </c>
      <c r="L96" s="26">
        <v>1</v>
      </c>
      <c r="M96" s="26">
        <v>0</v>
      </c>
      <c r="N96" s="26">
        <v>1</v>
      </c>
      <c r="O96" s="19">
        <f t="shared" ref="O96:O97" si="7">K96+L96+M96+N96</f>
        <v>4</v>
      </c>
      <c r="P96" s="19">
        <f>Q96-O96</f>
        <v>9</v>
      </c>
      <c r="Q96" s="19">
        <f>ROUND(PRODUCT(J96,25)/14,0)</f>
        <v>13</v>
      </c>
      <c r="R96" s="26" t="s">
        <v>30</v>
      </c>
      <c r="S96" s="26"/>
      <c r="T96" s="27"/>
      <c r="U96" s="11" t="s">
        <v>36</v>
      </c>
    </row>
    <row r="97" spans="1:21" x14ac:dyDescent="0.2">
      <c r="A97" s="34" t="s">
        <v>130</v>
      </c>
      <c r="B97" s="196" t="s">
        <v>152</v>
      </c>
      <c r="C97" s="197"/>
      <c r="D97" s="197"/>
      <c r="E97" s="197"/>
      <c r="F97" s="197"/>
      <c r="G97" s="197"/>
      <c r="H97" s="197"/>
      <c r="I97" s="198"/>
      <c r="J97" s="26">
        <v>7</v>
      </c>
      <c r="K97" s="26">
        <v>2</v>
      </c>
      <c r="L97" s="26">
        <v>1</v>
      </c>
      <c r="M97" s="26">
        <v>0</v>
      </c>
      <c r="N97" s="26">
        <v>1</v>
      </c>
      <c r="O97" s="19">
        <f t="shared" si="7"/>
        <v>4</v>
      </c>
      <c r="P97" s="19">
        <f>Q97-O97</f>
        <v>9</v>
      </c>
      <c r="Q97" s="19">
        <f>ROUND(PRODUCT(J97,25)/14,0)</f>
        <v>13</v>
      </c>
      <c r="R97" s="26" t="s">
        <v>30</v>
      </c>
      <c r="S97" s="26"/>
      <c r="T97" s="27"/>
      <c r="U97" s="11" t="s">
        <v>36</v>
      </c>
    </row>
    <row r="98" spans="1:21" x14ac:dyDescent="0.2">
      <c r="A98" s="244" t="s">
        <v>124</v>
      </c>
      <c r="B98" s="245"/>
      <c r="C98" s="245"/>
      <c r="D98" s="245"/>
      <c r="E98" s="245"/>
      <c r="F98" s="245"/>
      <c r="G98" s="245"/>
      <c r="H98" s="245"/>
      <c r="I98" s="245"/>
      <c r="J98" s="245"/>
      <c r="K98" s="245"/>
      <c r="L98" s="245"/>
      <c r="M98" s="245"/>
      <c r="N98" s="245"/>
      <c r="O98" s="245"/>
      <c r="P98" s="245"/>
      <c r="Q98" s="245"/>
      <c r="R98" s="245"/>
      <c r="S98" s="245"/>
      <c r="T98" s="245"/>
      <c r="U98" s="246"/>
    </row>
    <row r="99" spans="1:21" ht="25.5" customHeight="1" x14ac:dyDescent="0.2">
      <c r="A99" s="32" t="s">
        <v>132</v>
      </c>
      <c r="B99" s="247" t="s">
        <v>154</v>
      </c>
      <c r="C99" s="248"/>
      <c r="D99" s="248"/>
      <c r="E99" s="248"/>
      <c r="F99" s="248"/>
      <c r="G99" s="248"/>
      <c r="H99" s="248"/>
      <c r="I99" s="249"/>
      <c r="J99" s="26">
        <v>7</v>
      </c>
      <c r="K99" s="26">
        <v>2</v>
      </c>
      <c r="L99" s="26">
        <v>1</v>
      </c>
      <c r="M99" s="26">
        <v>0</v>
      </c>
      <c r="N99" s="26">
        <v>1</v>
      </c>
      <c r="O99" s="19">
        <f>K99+L99+M99+N99</f>
        <v>4</v>
      </c>
      <c r="P99" s="19">
        <f t="shared" si="6"/>
        <v>9</v>
      </c>
      <c r="Q99" s="19">
        <f>ROUND(PRODUCT(J99,25)/14,0)</f>
        <v>13</v>
      </c>
      <c r="R99" s="26" t="s">
        <v>30</v>
      </c>
      <c r="S99" s="26"/>
      <c r="T99" s="27"/>
      <c r="U99" s="11" t="s">
        <v>36</v>
      </c>
    </row>
    <row r="100" spans="1:21" s="67" customFormat="1" ht="12.75" customHeight="1" x14ac:dyDescent="0.2">
      <c r="A100" s="65" t="s">
        <v>133</v>
      </c>
      <c r="B100" s="247" t="s">
        <v>153</v>
      </c>
      <c r="C100" s="248"/>
      <c r="D100" s="248"/>
      <c r="E100" s="248"/>
      <c r="F100" s="248"/>
      <c r="G100" s="248"/>
      <c r="H100" s="248"/>
      <c r="I100" s="249"/>
      <c r="J100" s="27">
        <v>7</v>
      </c>
      <c r="K100" s="27">
        <v>2</v>
      </c>
      <c r="L100" s="27">
        <v>1</v>
      </c>
      <c r="M100" s="27">
        <v>0</v>
      </c>
      <c r="N100" s="27">
        <v>1</v>
      </c>
      <c r="O100" s="19">
        <f t="shared" ref="O100:O101" si="8">K100+L100+M100+N100</f>
        <v>4</v>
      </c>
      <c r="P100" s="66">
        <f>Q100-O100</f>
        <v>9</v>
      </c>
      <c r="Q100" s="66">
        <f>ROUND(PRODUCT(J100,25)/14,0)</f>
        <v>13</v>
      </c>
      <c r="R100" s="27" t="s">
        <v>30</v>
      </c>
      <c r="S100" s="27"/>
      <c r="T100" s="27"/>
      <c r="U100" s="25" t="s">
        <v>36</v>
      </c>
    </row>
    <row r="101" spans="1:21" x14ac:dyDescent="0.2">
      <c r="A101" s="34" t="s">
        <v>137</v>
      </c>
      <c r="B101" s="196" t="s">
        <v>155</v>
      </c>
      <c r="C101" s="197"/>
      <c r="D101" s="197"/>
      <c r="E101" s="197"/>
      <c r="F101" s="197"/>
      <c r="G101" s="197"/>
      <c r="H101" s="197"/>
      <c r="I101" s="198"/>
      <c r="J101" s="26">
        <v>7</v>
      </c>
      <c r="K101" s="26">
        <v>2</v>
      </c>
      <c r="L101" s="26">
        <v>1</v>
      </c>
      <c r="M101" s="26">
        <v>0</v>
      </c>
      <c r="N101" s="26">
        <v>1</v>
      </c>
      <c r="O101" s="19">
        <f t="shared" si="8"/>
        <v>4</v>
      </c>
      <c r="P101" s="19">
        <f>Q101-O101</f>
        <v>9</v>
      </c>
      <c r="Q101" s="19">
        <f>ROUND(PRODUCT(J101,25)/14,0)</f>
        <v>13</v>
      </c>
      <c r="R101" s="26" t="s">
        <v>30</v>
      </c>
      <c r="S101" s="26"/>
      <c r="T101" s="27"/>
      <c r="U101" s="11" t="s">
        <v>36</v>
      </c>
    </row>
    <row r="102" spans="1:21" ht="24.75" customHeight="1" x14ac:dyDescent="0.2">
      <c r="A102" s="189" t="s">
        <v>68</v>
      </c>
      <c r="B102" s="190"/>
      <c r="C102" s="190"/>
      <c r="D102" s="190"/>
      <c r="E102" s="190"/>
      <c r="F102" s="190"/>
      <c r="G102" s="190"/>
      <c r="H102" s="190"/>
      <c r="I102" s="191"/>
      <c r="J102" s="23">
        <f t="shared" ref="J102:Q102" si="9">SUM(J90,J95,J99)</f>
        <v>21</v>
      </c>
      <c r="K102" s="23">
        <f>SUM(K90,K95,K99)</f>
        <v>6</v>
      </c>
      <c r="L102" s="23">
        <f t="shared" si="9"/>
        <v>3</v>
      </c>
      <c r="M102" s="23">
        <f t="shared" si="9"/>
        <v>0</v>
      </c>
      <c r="N102" s="23">
        <f t="shared" si="9"/>
        <v>3</v>
      </c>
      <c r="O102" s="19">
        <f>SUM(O90,O95,O99)</f>
        <v>12</v>
      </c>
      <c r="P102" s="23">
        <f t="shared" si="9"/>
        <v>27</v>
      </c>
      <c r="Q102" s="23">
        <f t="shared" si="9"/>
        <v>39</v>
      </c>
      <c r="R102" s="23">
        <f>COUNTIF(R90,"E")+COUNTIF(R95,"E")+COUNTIF(R99,"E")</f>
        <v>3</v>
      </c>
      <c r="S102" s="23">
        <f>COUNTIF(S90,"C")+COUNTIF(S95,"C")+COUNTIF(S99,"C")</f>
        <v>0</v>
      </c>
      <c r="T102" s="23">
        <f>COUNTIF(T90,"VP")+COUNTIF(T95,"VP")+COUNTIF(T99,"VP")</f>
        <v>0</v>
      </c>
      <c r="U102" s="28"/>
    </row>
    <row r="103" spans="1:21" ht="13.5" customHeight="1" x14ac:dyDescent="0.2">
      <c r="A103" s="151" t="s">
        <v>46</v>
      </c>
      <c r="B103" s="152"/>
      <c r="C103" s="152"/>
      <c r="D103" s="152"/>
      <c r="E103" s="152"/>
      <c r="F103" s="152"/>
      <c r="G103" s="152"/>
      <c r="H103" s="152"/>
      <c r="I103" s="152"/>
      <c r="J103" s="153"/>
      <c r="K103" s="68">
        <f>SUM(K90,K95,K99)*14</f>
        <v>84</v>
      </c>
      <c r="L103" s="23">
        <f t="shared" ref="L103:Q103" si="10">SUM(L90,L95,L99)*14</f>
        <v>42</v>
      </c>
      <c r="M103" s="23">
        <f t="shared" si="10"/>
        <v>0</v>
      </c>
      <c r="N103" s="23">
        <f t="shared" si="10"/>
        <v>42</v>
      </c>
      <c r="O103" s="23">
        <f t="shared" si="10"/>
        <v>168</v>
      </c>
      <c r="P103" s="23">
        <f t="shared" si="10"/>
        <v>378</v>
      </c>
      <c r="Q103" s="23">
        <f t="shared" si="10"/>
        <v>546</v>
      </c>
      <c r="R103" s="157"/>
      <c r="S103" s="158"/>
      <c r="T103" s="158"/>
      <c r="U103" s="159"/>
    </row>
    <row r="104" spans="1:21" ht="15" customHeight="1" x14ac:dyDescent="0.2">
      <c r="A104" s="154"/>
      <c r="B104" s="155"/>
      <c r="C104" s="155"/>
      <c r="D104" s="155"/>
      <c r="E104" s="155"/>
      <c r="F104" s="155"/>
      <c r="G104" s="155"/>
      <c r="H104" s="155"/>
      <c r="I104" s="155"/>
      <c r="J104" s="156"/>
      <c r="K104" s="97">
        <f>SUM(K103:N103)</f>
        <v>168</v>
      </c>
      <c r="L104" s="98"/>
      <c r="M104" s="98"/>
      <c r="N104" s="99"/>
      <c r="O104" s="182">
        <f>SUM(O103:P103)</f>
        <v>546</v>
      </c>
      <c r="P104" s="183"/>
      <c r="Q104" s="184"/>
      <c r="R104" s="160"/>
      <c r="S104" s="161"/>
      <c r="T104" s="161"/>
      <c r="U104" s="162"/>
    </row>
    <row r="105" spans="1:21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3"/>
      <c r="M105" s="13"/>
      <c r="N105" s="13"/>
      <c r="O105" s="14"/>
      <c r="P105" s="14"/>
      <c r="Q105" s="14"/>
      <c r="R105" s="15"/>
      <c r="S105" s="15"/>
      <c r="T105" s="15"/>
      <c r="U105" s="15"/>
    </row>
    <row r="106" spans="1:21" s="69" customFormat="1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3"/>
      <c r="M106" s="13"/>
      <c r="N106" s="13"/>
      <c r="O106" s="14"/>
      <c r="P106" s="14"/>
      <c r="Q106" s="14"/>
      <c r="R106" s="15"/>
      <c r="S106" s="15"/>
      <c r="T106" s="15"/>
      <c r="U106" s="15"/>
    </row>
    <row r="107" spans="1:21" ht="24" customHeight="1" x14ac:dyDescent="0.2">
      <c r="A107" s="203" t="s">
        <v>47</v>
      </c>
      <c r="B107" s="203"/>
      <c r="C107" s="203"/>
      <c r="D107" s="203"/>
      <c r="E107" s="203"/>
      <c r="F107" s="203"/>
      <c r="G107" s="203"/>
      <c r="H107" s="203"/>
      <c r="I107" s="203"/>
      <c r="J107" s="203"/>
      <c r="K107" s="203"/>
      <c r="L107" s="203"/>
      <c r="M107" s="203"/>
      <c r="N107" s="203"/>
      <c r="O107" s="203"/>
      <c r="P107" s="203"/>
      <c r="Q107" s="203"/>
      <c r="R107" s="203"/>
      <c r="S107" s="203"/>
      <c r="T107" s="203"/>
      <c r="U107" s="203"/>
    </row>
    <row r="108" spans="1:21" ht="16.5" customHeight="1" x14ac:dyDescent="0.2">
      <c r="A108" s="147" t="s">
        <v>48</v>
      </c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  <c r="R108" s="181"/>
      <c r="S108" s="181"/>
      <c r="T108" s="181"/>
      <c r="U108" s="148"/>
    </row>
    <row r="109" spans="1:21" ht="34.5" customHeight="1" x14ac:dyDescent="0.2">
      <c r="A109" s="180" t="s">
        <v>25</v>
      </c>
      <c r="B109" s="180" t="s">
        <v>24</v>
      </c>
      <c r="C109" s="180"/>
      <c r="D109" s="180"/>
      <c r="E109" s="180"/>
      <c r="F109" s="180"/>
      <c r="G109" s="180"/>
      <c r="H109" s="180"/>
      <c r="I109" s="180"/>
      <c r="J109" s="131" t="s">
        <v>38</v>
      </c>
      <c r="K109" s="82" t="s">
        <v>22</v>
      </c>
      <c r="L109" s="83"/>
      <c r="M109" s="83"/>
      <c r="N109" s="84"/>
      <c r="O109" s="131" t="s">
        <v>39</v>
      </c>
      <c r="P109" s="131"/>
      <c r="Q109" s="131"/>
      <c r="R109" s="131" t="s">
        <v>21</v>
      </c>
      <c r="S109" s="131"/>
      <c r="T109" s="131"/>
      <c r="U109" s="131" t="s">
        <v>20</v>
      </c>
    </row>
    <row r="110" spans="1:21" x14ac:dyDescent="0.2">
      <c r="A110" s="180"/>
      <c r="B110" s="180"/>
      <c r="C110" s="180"/>
      <c r="D110" s="180"/>
      <c r="E110" s="180"/>
      <c r="F110" s="180"/>
      <c r="G110" s="180"/>
      <c r="H110" s="180"/>
      <c r="I110" s="180"/>
      <c r="J110" s="131"/>
      <c r="K110" s="58" t="s">
        <v>26</v>
      </c>
      <c r="L110" s="30" t="s">
        <v>27</v>
      </c>
      <c r="M110" s="30" t="s">
        <v>157</v>
      </c>
      <c r="N110" s="30" t="s">
        <v>158</v>
      </c>
      <c r="O110" s="30" t="s">
        <v>32</v>
      </c>
      <c r="P110" s="30" t="s">
        <v>6</v>
      </c>
      <c r="Q110" s="30" t="s">
        <v>29</v>
      </c>
      <c r="R110" s="30" t="s">
        <v>30</v>
      </c>
      <c r="S110" s="30" t="s">
        <v>26</v>
      </c>
      <c r="T110" s="30" t="s">
        <v>31</v>
      </c>
      <c r="U110" s="131"/>
    </row>
    <row r="111" spans="1:21" ht="17.25" customHeight="1" x14ac:dyDescent="0.2">
      <c r="A111" s="147" t="s">
        <v>59</v>
      </c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48"/>
    </row>
    <row r="112" spans="1:21" ht="38.25" customHeight="1" x14ac:dyDescent="0.2">
      <c r="A112" s="33" t="str">
        <f t="shared" ref="A112:A118" si="11">IF(ISNA(INDEX($A$34:$U$106,MATCH($B112,$B$34:$B$106,0),1)),"",INDEX($A$34:$U$106,MATCH($B112,$B$34:$B$106,0),1))</f>
        <v>MMG3150</v>
      </c>
      <c r="B112" s="185" t="s">
        <v>169</v>
      </c>
      <c r="C112" s="185"/>
      <c r="D112" s="185"/>
      <c r="E112" s="185"/>
      <c r="F112" s="185"/>
      <c r="G112" s="185"/>
      <c r="H112" s="185"/>
      <c r="I112" s="185"/>
      <c r="J112" s="19">
        <f t="shared" ref="J112:J118" si="12">IF(ISNA(INDEX($A$34:$U$106,MATCH($B112,$B$34:$B$106,0),10)),"",INDEX($A$34:$U$106,MATCH($B112,$B$34:$B$106,0),10))</f>
        <v>4</v>
      </c>
      <c r="K112" s="19">
        <f t="shared" ref="K112:K118" si="13">IF(ISNA(INDEX($A$34:$U$106,MATCH($B112,$B$34:$B$106,0),11)),"",INDEX($A$34:$U$106,MATCH($B112,$B$34:$B$106,0),11))</f>
        <v>2</v>
      </c>
      <c r="L112" s="19">
        <f t="shared" ref="L112:L118" si="14">IF(ISNA(INDEX($A$34:$U$106,MATCH($B112,$B$34:$B$106,0),12)),"",INDEX($A$34:$U$106,MATCH($B112,$B$34:$B$106,0),12))</f>
        <v>1</v>
      </c>
      <c r="M112" s="19">
        <f t="shared" ref="M112:M118" si="15">IF(ISNA(INDEX($A$34:$U$106,MATCH($B112,$B$34:$B$106,0),13)),"",INDEX($A$34:$U$106,MATCH($B112,$B$34:$B$106,0),13))</f>
        <v>0</v>
      </c>
      <c r="N112" s="19">
        <f t="shared" ref="N112:N118" si="16">IF(ISNA(INDEX($A$34:$U$106,MATCH($B112,$B$34:$B$106,0),14)),"",INDEX($A$34:$U$106,MATCH($B112,$B$34:$B$106,0),14))</f>
        <v>1</v>
      </c>
      <c r="O112" s="19">
        <f t="shared" ref="O112:O118" si="17">IF(ISNA(INDEX($A$34:$U$106,MATCH($B112,$B$34:$B$106,0),15)),"",INDEX($A$34:$U$106,MATCH($B112,$B$34:$B$106,0),15))</f>
        <v>4</v>
      </c>
      <c r="P112" s="19">
        <f t="shared" ref="P112:P118" si="18">IF(ISNA(INDEX($A$34:$U$106,MATCH($B112,$B$34:$B$106,0),16)),"",INDEX($A$34:$U$106,MATCH($B112,$B$34:$B$106,0),16))</f>
        <v>3</v>
      </c>
      <c r="Q112" s="19">
        <f t="shared" ref="Q112:Q118" si="19">IF(ISNA(INDEX($A$34:$U$106,MATCH($B112,$B$34:$B$106,0),17)),"",INDEX($A$34:$U$106,MATCH($B112,$B$34:$B$106,0),17))</f>
        <v>7</v>
      </c>
      <c r="R112" s="29">
        <f t="shared" ref="R112:R118" si="20">IF(ISNA(INDEX($A$34:$U$106,MATCH($B112,$B$34:$B$106,0),18)),"",INDEX($A$34:$U$106,MATCH($B112,$B$34:$B$106,0),18))</f>
        <v>0</v>
      </c>
      <c r="S112" s="29" t="str">
        <f t="shared" ref="S112:S118" si="21">IF(ISNA(INDEX($A$34:$U$106,MATCH($B112,$B$34:$B$106,0),19)),"",INDEX($A$34:$U$106,MATCH($B112,$B$34:$B$106,0),19))</f>
        <v>C</v>
      </c>
      <c r="T112" s="29">
        <f t="shared" ref="T112:T118" si="22">IF(ISNA(INDEX($A$34:$U$106,MATCH($B112,$B$34:$B$106,0),20)),"",INDEX($A$34:$U$106,MATCH($B112,$B$34:$B$106,0),20))</f>
        <v>0</v>
      </c>
      <c r="U112" s="20" t="s">
        <v>35</v>
      </c>
    </row>
    <row r="113" spans="1:21" ht="38.25" customHeight="1" x14ac:dyDescent="0.2">
      <c r="A113" s="33" t="str">
        <f t="shared" si="11"/>
        <v>MMG8143</v>
      </c>
      <c r="B113" s="185" t="s">
        <v>160</v>
      </c>
      <c r="C113" s="185"/>
      <c r="D113" s="185"/>
      <c r="E113" s="185"/>
      <c r="F113" s="185"/>
      <c r="G113" s="185"/>
      <c r="H113" s="185"/>
      <c r="I113" s="185"/>
      <c r="J113" s="19">
        <f t="shared" si="12"/>
        <v>7</v>
      </c>
      <c r="K113" s="19">
        <f t="shared" si="13"/>
        <v>2</v>
      </c>
      <c r="L113" s="19">
        <f t="shared" si="14"/>
        <v>1</v>
      </c>
      <c r="M113" s="19">
        <f t="shared" si="15"/>
        <v>0</v>
      </c>
      <c r="N113" s="19">
        <f t="shared" si="16"/>
        <v>1</v>
      </c>
      <c r="O113" s="19">
        <f t="shared" si="17"/>
        <v>4</v>
      </c>
      <c r="P113" s="19">
        <f t="shared" si="18"/>
        <v>9</v>
      </c>
      <c r="Q113" s="19">
        <f t="shared" si="19"/>
        <v>13</v>
      </c>
      <c r="R113" s="29" t="str">
        <f t="shared" si="20"/>
        <v>E</v>
      </c>
      <c r="S113" s="29">
        <f t="shared" si="21"/>
        <v>0</v>
      </c>
      <c r="T113" s="29">
        <f t="shared" si="22"/>
        <v>0</v>
      </c>
      <c r="U113" s="20" t="s">
        <v>35</v>
      </c>
    </row>
    <row r="114" spans="1:21" ht="12.75" customHeight="1" x14ac:dyDescent="0.2">
      <c r="A114" s="33" t="str">
        <f t="shared" si="11"/>
        <v>MMX9701</v>
      </c>
      <c r="B114" s="185" t="s">
        <v>116</v>
      </c>
      <c r="C114" s="185"/>
      <c r="D114" s="185"/>
      <c r="E114" s="185"/>
      <c r="F114" s="185"/>
      <c r="G114" s="185"/>
      <c r="H114" s="185"/>
      <c r="I114" s="185"/>
      <c r="J114" s="19">
        <f t="shared" si="12"/>
        <v>7</v>
      </c>
      <c r="K114" s="19">
        <f t="shared" si="13"/>
        <v>2</v>
      </c>
      <c r="L114" s="19">
        <f t="shared" si="14"/>
        <v>1</v>
      </c>
      <c r="M114" s="19">
        <f t="shared" si="15"/>
        <v>0</v>
      </c>
      <c r="N114" s="19">
        <f t="shared" si="16"/>
        <v>1</v>
      </c>
      <c r="O114" s="19">
        <f t="shared" si="17"/>
        <v>4</v>
      </c>
      <c r="P114" s="19">
        <f t="shared" si="18"/>
        <v>9</v>
      </c>
      <c r="Q114" s="19">
        <f t="shared" si="19"/>
        <v>13</v>
      </c>
      <c r="R114" s="29" t="str">
        <f t="shared" si="20"/>
        <v>E</v>
      </c>
      <c r="S114" s="29">
        <f t="shared" si="21"/>
        <v>0</v>
      </c>
      <c r="T114" s="29">
        <f t="shared" si="22"/>
        <v>0</v>
      </c>
      <c r="U114" s="20" t="s">
        <v>35</v>
      </c>
    </row>
    <row r="115" spans="1:21" ht="25.5" customHeight="1" x14ac:dyDescent="0.2">
      <c r="A115" s="33" t="str">
        <f t="shared" si="11"/>
        <v>MMG8065</v>
      </c>
      <c r="B115" s="185" t="s">
        <v>162</v>
      </c>
      <c r="C115" s="185"/>
      <c r="D115" s="185"/>
      <c r="E115" s="185"/>
      <c r="F115" s="185"/>
      <c r="G115" s="185"/>
      <c r="H115" s="185"/>
      <c r="I115" s="185"/>
      <c r="J115" s="19">
        <f t="shared" si="12"/>
        <v>7</v>
      </c>
      <c r="K115" s="19">
        <f t="shared" si="13"/>
        <v>2</v>
      </c>
      <c r="L115" s="19">
        <f t="shared" si="14"/>
        <v>1</v>
      </c>
      <c r="M115" s="19">
        <f t="shared" si="15"/>
        <v>0</v>
      </c>
      <c r="N115" s="19">
        <f t="shared" si="16"/>
        <v>1</v>
      </c>
      <c r="O115" s="19">
        <f t="shared" si="17"/>
        <v>4</v>
      </c>
      <c r="P115" s="19">
        <f t="shared" si="18"/>
        <v>9</v>
      </c>
      <c r="Q115" s="19">
        <f t="shared" si="19"/>
        <v>13</v>
      </c>
      <c r="R115" s="29" t="str">
        <f t="shared" si="20"/>
        <v>E</v>
      </c>
      <c r="S115" s="29">
        <f t="shared" si="21"/>
        <v>0</v>
      </c>
      <c r="T115" s="29">
        <f t="shared" si="22"/>
        <v>0</v>
      </c>
      <c r="U115" s="20" t="s">
        <v>35</v>
      </c>
    </row>
    <row r="116" spans="1:21" ht="12.75" customHeight="1" x14ac:dyDescent="0.2">
      <c r="A116" s="33" t="str">
        <f t="shared" si="11"/>
        <v>MMG8154</v>
      </c>
      <c r="B116" s="185" t="s">
        <v>141</v>
      </c>
      <c r="C116" s="185"/>
      <c r="D116" s="185"/>
      <c r="E116" s="185"/>
      <c r="F116" s="185"/>
      <c r="G116" s="185"/>
      <c r="H116" s="185"/>
      <c r="I116" s="185"/>
      <c r="J116" s="19">
        <f t="shared" si="12"/>
        <v>6</v>
      </c>
      <c r="K116" s="19">
        <f t="shared" si="13"/>
        <v>2</v>
      </c>
      <c r="L116" s="19">
        <f t="shared" si="14"/>
        <v>1</v>
      </c>
      <c r="M116" s="19">
        <f t="shared" si="15"/>
        <v>0</v>
      </c>
      <c r="N116" s="19">
        <f t="shared" si="16"/>
        <v>1</v>
      </c>
      <c r="O116" s="19">
        <f t="shared" si="17"/>
        <v>4</v>
      </c>
      <c r="P116" s="19">
        <f t="shared" si="18"/>
        <v>7</v>
      </c>
      <c r="Q116" s="19">
        <f t="shared" si="19"/>
        <v>11</v>
      </c>
      <c r="R116" s="29" t="str">
        <f t="shared" si="20"/>
        <v>E</v>
      </c>
      <c r="S116" s="29">
        <f t="shared" si="21"/>
        <v>0</v>
      </c>
      <c r="T116" s="29">
        <f t="shared" si="22"/>
        <v>0</v>
      </c>
      <c r="U116" s="20" t="s">
        <v>35</v>
      </c>
    </row>
    <row r="117" spans="1:21" ht="25.5" customHeight="1" x14ac:dyDescent="0.2">
      <c r="A117" s="33" t="str">
        <f t="shared" si="11"/>
        <v>MMG8156</v>
      </c>
      <c r="B117" s="185" t="s">
        <v>167</v>
      </c>
      <c r="C117" s="185"/>
      <c r="D117" s="185"/>
      <c r="E117" s="185"/>
      <c r="F117" s="185"/>
      <c r="G117" s="185"/>
      <c r="H117" s="185"/>
      <c r="I117" s="185"/>
      <c r="J117" s="19">
        <f t="shared" si="12"/>
        <v>8</v>
      </c>
      <c r="K117" s="19">
        <f t="shared" si="13"/>
        <v>2</v>
      </c>
      <c r="L117" s="19">
        <f t="shared" si="14"/>
        <v>1</v>
      </c>
      <c r="M117" s="19">
        <f t="shared" si="15"/>
        <v>0</v>
      </c>
      <c r="N117" s="19">
        <f t="shared" si="16"/>
        <v>1</v>
      </c>
      <c r="O117" s="19">
        <f t="shared" si="17"/>
        <v>4</v>
      </c>
      <c r="P117" s="19">
        <f t="shared" si="18"/>
        <v>10</v>
      </c>
      <c r="Q117" s="19">
        <f t="shared" si="19"/>
        <v>14</v>
      </c>
      <c r="R117" s="29" t="str">
        <f t="shared" si="20"/>
        <v>E</v>
      </c>
      <c r="S117" s="29">
        <f t="shared" si="21"/>
        <v>0</v>
      </c>
      <c r="T117" s="29">
        <f t="shared" si="22"/>
        <v>0</v>
      </c>
      <c r="U117" s="20" t="s">
        <v>35</v>
      </c>
    </row>
    <row r="118" spans="1:21" ht="25.5" customHeight="1" x14ac:dyDescent="0.2">
      <c r="A118" s="33" t="str">
        <f t="shared" si="11"/>
        <v>MMG8157</v>
      </c>
      <c r="B118" s="185" t="s">
        <v>143</v>
      </c>
      <c r="C118" s="185"/>
      <c r="D118" s="185"/>
      <c r="E118" s="185"/>
      <c r="F118" s="185"/>
      <c r="G118" s="185"/>
      <c r="H118" s="185"/>
      <c r="I118" s="185"/>
      <c r="J118" s="19">
        <f t="shared" si="12"/>
        <v>8</v>
      </c>
      <c r="K118" s="19">
        <f t="shared" si="13"/>
        <v>2</v>
      </c>
      <c r="L118" s="19">
        <f t="shared" si="14"/>
        <v>1</v>
      </c>
      <c r="M118" s="19">
        <f t="shared" si="15"/>
        <v>0</v>
      </c>
      <c r="N118" s="19">
        <f t="shared" si="16"/>
        <v>1</v>
      </c>
      <c r="O118" s="19">
        <f t="shared" si="17"/>
        <v>4</v>
      </c>
      <c r="P118" s="19">
        <f t="shared" si="18"/>
        <v>10</v>
      </c>
      <c r="Q118" s="19">
        <f t="shared" si="19"/>
        <v>14</v>
      </c>
      <c r="R118" s="29" t="str">
        <f t="shared" si="20"/>
        <v>E</v>
      </c>
      <c r="S118" s="29">
        <f t="shared" si="21"/>
        <v>0</v>
      </c>
      <c r="T118" s="29">
        <f t="shared" si="22"/>
        <v>0</v>
      </c>
      <c r="U118" s="20" t="s">
        <v>35</v>
      </c>
    </row>
    <row r="119" spans="1:21" x14ac:dyDescent="0.2">
      <c r="A119" s="21" t="s">
        <v>23</v>
      </c>
      <c r="B119" s="186"/>
      <c r="C119" s="187"/>
      <c r="D119" s="187"/>
      <c r="E119" s="187"/>
      <c r="F119" s="187"/>
      <c r="G119" s="187"/>
      <c r="H119" s="187"/>
      <c r="I119" s="188"/>
      <c r="J119" s="23">
        <f>IF(ISNA(SUM(J112:J118)),"",SUM(J112:J118))</f>
        <v>47</v>
      </c>
      <c r="K119" s="23">
        <f>SUM(K112:K118)</f>
        <v>14</v>
      </c>
      <c r="L119" s="23">
        <f t="shared" ref="L119:Q119" si="23">SUM(L112:L118)</f>
        <v>7</v>
      </c>
      <c r="M119" s="23">
        <f t="shared" si="23"/>
        <v>0</v>
      </c>
      <c r="N119" s="23">
        <f t="shared" si="23"/>
        <v>7</v>
      </c>
      <c r="O119" s="23">
        <f t="shared" si="23"/>
        <v>28</v>
      </c>
      <c r="P119" s="23">
        <f t="shared" si="23"/>
        <v>57</v>
      </c>
      <c r="Q119" s="23">
        <f t="shared" si="23"/>
        <v>85</v>
      </c>
      <c r="R119" s="21">
        <f>COUNTIF(R112:R118,"E")</f>
        <v>6</v>
      </c>
      <c r="S119" s="21">
        <f>COUNTIF(S112:S118,"C")</f>
        <v>1</v>
      </c>
      <c r="T119" s="21">
        <f>COUNTIF(T112:T118,"VP")</f>
        <v>0</v>
      </c>
      <c r="U119" s="20"/>
    </row>
    <row r="120" spans="1:21" ht="27" customHeight="1" x14ac:dyDescent="0.2">
      <c r="A120" s="189" t="s">
        <v>68</v>
      </c>
      <c r="B120" s="190"/>
      <c r="C120" s="190"/>
      <c r="D120" s="190"/>
      <c r="E120" s="190"/>
      <c r="F120" s="190"/>
      <c r="G120" s="190"/>
      <c r="H120" s="190"/>
      <c r="I120" s="191"/>
      <c r="J120" s="23">
        <f t="shared" ref="J120:T120" si="24">SUM(J119)</f>
        <v>47</v>
      </c>
      <c r="K120" s="23">
        <f>SUM(K119)</f>
        <v>14</v>
      </c>
      <c r="L120" s="23">
        <f t="shared" si="24"/>
        <v>7</v>
      </c>
      <c r="M120" s="23">
        <f t="shared" si="24"/>
        <v>0</v>
      </c>
      <c r="N120" s="23">
        <f t="shared" si="24"/>
        <v>7</v>
      </c>
      <c r="O120" s="23">
        <f t="shared" si="24"/>
        <v>28</v>
      </c>
      <c r="P120" s="23">
        <f t="shared" si="24"/>
        <v>57</v>
      </c>
      <c r="Q120" s="23">
        <f t="shared" si="24"/>
        <v>85</v>
      </c>
      <c r="R120" s="23">
        <f t="shared" si="24"/>
        <v>6</v>
      </c>
      <c r="S120" s="23">
        <f t="shared" si="24"/>
        <v>1</v>
      </c>
      <c r="T120" s="23">
        <f t="shared" si="24"/>
        <v>0</v>
      </c>
      <c r="U120" s="28"/>
    </row>
    <row r="121" spans="1:21" x14ac:dyDescent="0.2">
      <c r="A121" s="151" t="s">
        <v>46</v>
      </c>
      <c r="B121" s="152"/>
      <c r="C121" s="152"/>
      <c r="D121" s="152"/>
      <c r="E121" s="152"/>
      <c r="F121" s="152"/>
      <c r="G121" s="152"/>
      <c r="H121" s="152"/>
      <c r="I121" s="152"/>
      <c r="J121" s="153"/>
      <c r="K121" s="68">
        <f>K119*14</f>
        <v>196</v>
      </c>
      <c r="L121" s="23">
        <f t="shared" ref="L121:Q121" si="25">L119*14</f>
        <v>98</v>
      </c>
      <c r="M121" s="23">
        <f t="shared" si="25"/>
        <v>0</v>
      </c>
      <c r="N121" s="23">
        <f t="shared" si="25"/>
        <v>98</v>
      </c>
      <c r="O121" s="23">
        <f t="shared" si="25"/>
        <v>392</v>
      </c>
      <c r="P121" s="23">
        <f t="shared" si="25"/>
        <v>798</v>
      </c>
      <c r="Q121" s="23">
        <f t="shared" si="25"/>
        <v>1190</v>
      </c>
      <c r="R121" s="157"/>
      <c r="S121" s="158"/>
      <c r="T121" s="158"/>
      <c r="U121" s="159"/>
    </row>
    <row r="122" spans="1:21" ht="15" customHeight="1" x14ac:dyDescent="0.2">
      <c r="A122" s="154"/>
      <c r="B122" s="155"/>
      <c r="C122" s="155"/>
      <c r="D122" s="155"/>
      <c r="E122" s="155"/>
      <c r="F122" s="155"/>
      <c r="G122" s="155"/>
      <c r="H122" s="155"/>
      <c r="I122" s="155"/>
      <c r="J122" s="156"/>
      <c r="K122" s="100">
        <f>SUM(K121:N121)</f>
        <v>392</v>
      </c>
      <c r="L122" s="101"/>
      <c r="M122" s="101"/>
      <c r="N122" s="102"/>
      <c r="O122" s="182">
        <f>SUM(O121:P121)</f>
        <v>1190</v>
      </c>
      <c r="P122" s="183"/>
      <c r="Q122" s="184"/>
      <c r="R122" s="160"/>
      <c r="S122" s="161"/>
      <c r="T122" s="161"/>
      <c r="U122" s="162"/>
    </row>
    <row r="124" spans="1:21" ht="28.5" customHeight="1" x14ac:dyDescent="0.2">
      <c r="A124" s="139" t="s">
        <v>86</v>
      </c>
      <c r="B124" s="140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1"/>
    </row>
    <row r="125" spans="1:21" ht="27.75" customHeight="1" x14ac:dyDescent="0.2">
      <c r="A125" s="180" t="s">
        <v>25</v>
      </c>
      <c r="B125" s="180" t="s">
        <v>24</v>
      </c>
      <c r="C125" s="180"/>
      <c r="D125" s="180"/>
      <c r="E125" s="180"/>
      <c r="F125" s="180"/>
      <c r="G125" s="180"/>
      <c r="H125" s="180"/>
      <c r="I125" s="180"/>
      <c r="J125" s="131" t="s">
        <v>38</v>
      </c>
      <c r="K125" s="82" t="s">
        <v>22</v>
      </c>
      <c r="L125" s="83"/>
      <c r="M125" s="83"/>
      <c r="N125" s="84"/>
      <c r="O125" s="131" t="s">
        <v>39</v>
      </c>
      <c r="P125" s="131"/>
      <c r="Q125" s="131"/>
      <c r="R125" s="131" t="s">
        <v>21</v>
      </c>
      <c r="S125" s="131"/>
      <c r="T125" s="131"/>
      <c r="U125" s="131" t="s">
        <v>20</v>
      </c>
    </row>
    <row r="126" spans="1:21" ht="16.5" customHeight="1" x14ac:dyDescent="0.2">
      <c r="A126" s="180"/>
      <c r="B126" s="180"/>
      <c r="C126" s="180"/>
      <c r="D126" s="180"/>
      <c r="E126" s="180"/>
      <c r="F126" s="180"/>
      <c r="G126" s="180"/>
      <c r="H126" s="180"/>
      <c r="I126" s="180"/>
      <c r="J126" s="131"/>
      <c r="K126" s="58" t="s">
        <v>26</v>
      </c>
      <c r="L126" s="30" t="s">
        <v>27</v>
      </c>
      <c r="M126" s="30" t="s">
        <v>157</v>
      </c>
      <c r="N126" s="30" t="s">
        <v>158</v>
      </c>
      <c r="O126" s="30" t="s">
        <v>32</v>
      </c>
      <c r="P126" s="30" t="s">
        <v>6</v>
      </c>
      <c r="Q126" s="30" t="s">
        <v>29</v>
      </c>
      <c r="R126" s="30" t="s">
        <v>30</v>
      </c>
      <c r="S126" s="30" t="s">
        <v>26</v>
      </c>
      <c r="T126" s="30" t="s">
        <v>31</v>
      </c>
      <c r="U126" s="131"/>
    </row>
    <row r="127" spans="1:21" ht="17.25" customHeight="1" x14ac:dyDescent="0.2">
      <c r="A127" s="147" t="s">
        <v>59</v>
      </c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  <c r="R127" s="181"/>
      <c r="S127" s="181"/>
      <c r="T127" s="181"/>
      <c r="U127" s="148"/>
    </row>
    <row r="128" spans="1:21" ht="25.5" customHeight="1" x14ac:dyDescent="0.2">
      <c r="A128" s="33" t="str">
        <f>IF(ISNA(INDEX($A$34:$U$106,MATCH($B128,$B$34:$B$106,0),1)),"",INDEX($A$34:$U$106,MATCH($B128,$B$34:$B$106,0),1))</f>
        <v>MMG8155</v>
      </c>
      <c r="B128" s="185" t="s">
        <v>163</v>
      </c>
      <c r="C128" s="185"/>
      <c r="D128" s="185"/>
      <c r="E128" s="185"/>
      <c r="F128" s="185"/>
      <c r="G128" s="185"/>
      <c r="H128" s="185"/>
      <c r="I128" s="185"/>
      <c r="J128" s="19">
        <f>IF(ISNA(INDEX($A$34:$U$106,MATCH($B128,$B$34:$B$106,0),10)),"",INDEX($A$34:$U$106,MATCH($B128,$B$34:$B$106,0),10))</f>
        <v>6</v>
      </c>
      <c r="K128" s="19">
        <f>IF(ISNA(INDEX($A$34:$U$106,MATCH($B128,$B$34:$B$106,0),11)),"",INDEX($A$34:$U$106,MATCH($B128,$B$34:$B$106,0),11))</f>
        <v>2</v>
      </c>
      <c r="L128" s="19">
        <f>IF(ISNA(INDEX($A$34:$U$106,MATCH($B128,$B$34:$B$106,0),12)),"",INDEX($A$34:$U$106,MATCH($B128,$B$34:$B$106,0),12))</f>
        <v>1</v>
      </c>
      <c r="M128" s="19">
        <f>IF(ISNA(INDEX($A$34:$U$106,MATCH($B128,$B$34:$B$106,0),13)),"",INDEX($A$34:$U$106,MATCH($B128,$B$34:$B$106,0),13))</f>
        <v>0</v>
      </c>
      <c r="N128" s="19">
        <f>IF(ISNA(INDEX($A$34:$U$106,MATCH($B128,$B$34:$B$106,0),14)),"",INDEX($A$34:$U$106,MATCH($B128,$B$34:$B$106,0),14))</f>
        <v>1</v>
      </c>
      <c r="O128" s="19">
        <f>IF(ISNA(INDEX($A$34:$U$106,MATCH($B128,$B$34:$B$106,0),15)),"",INDEX($A$34:$U$106,MATCH($B128,$B$34:$B$106,0),15))</f>
        <v>4</v>
      </c>
      <c r="P128" s="19">
        <f>IF(ISNA(INDEX($A$34:$U$106,MATCH($B128,$B$34:$B$106,0),16)),"",INDEX($A$34:$U$106,MATCH($B128,$B$34:$B$106,0),16))</f>
        <v>7</v>
      </c>
      <c r="Q128" s="19">
        <f>IF(ISNA(INDEX($A$34:$U$106,MATCH($B128,$B$34:$B$106,0),17)),"",INDEX($A$34:$U$106,MATCH($B128,$B$34:$B$106,0),17))</f>
        <v>11</v>
      </c>
      <c r="R128" s="29" t="str">
        <f>IF(ISNA(INDEX($A$34:$U$106,MATCH($B128,$B$34:$B$106,0),18)),"",INDEX($A$34:$U$106,MATCH($B128,$B$34:$B$106,0),18))</f>
        <v>E</v>
      </c>
      <c r="S128" s="29">
        <f>IF(ISNA(INDEX($A$34:$U$106,MATCH($B128,$B$34:$B$106,0),19)),"",INDEX($A$34:$U$106,MATCH($B128,$B$34:$B$106,0),19))</f>
        <v>0</v>
      </c>
      <c r="T128" s="29">
        <f>IF(ISNA(INDEX($A$34:$U$106,MATCH($B128,$B$34:$B$106,0),20)),"",INDEX($A$34:$U$106,MATCH($B128,$B$34:$B$106,0),20))</f>
        <v>0</v>
      </c>
      <c r="U128" s="20" t="s">
        <v>36</v>
      </c>
    </row>
    <row r="129" spans="1:21" x14ac:dyDescent="0.2">
      <c r="A129" s="33" t="str">
        <f>IF(ISNA(INDEX($A$34:$U$106,MATCH($B129,$B$34:$B$106,0),1)),"",INDEX($A$34:$U$106,MATCH($B129,$B$34:$B$106,0),1))</f>
        <v>MMX9702</v>
      </c>
      <c r="B129" s="195" t="s">
        <v>117</v>
      </c>
      <c r="C129" s="195"/>
      <c r="D129" s="195"/>
      <c r="E129" s="195"/>
      <c r="F129" s="195"/>
      <c r="G129" s="195"/>
      <c r="H129" s="195"/>
      <c r="I129" s="195"/>
      <c r="J129" s="19">
        <f>IF(ISNA(INDEX($A$34:$U$106,MATCH($B129,$B$34:$B$106,0),10)),"",INDEX($A$34:$U$106,MATCH($B129,$B$34:$B$106,0),10))</f>
        <v>7</v>
      </c>
      <c r="K129" s="19">
        <f>IF(ISNA(INDEX($A$34:$U$106,MATCH($B129,$B$34:$B$106,0),11)),"",INDEX($A$34:$U$106,MATCH($B129,$B$34:$B$106,0),11))</f>
        <v>2</v>
      </c>
      <c r="L129" s="19">
        <f>IF(ISNA(INDEX($A$34:$U$106,MATCH($B129,$B$34:$B$106,0),12)),"",INDEX($A$34:$U$106,MATCH($B129,$B$34:$B$106,0),12))</f>
        <v>1</v>
      </c>
      <c r="M129" s="19">
        <f>IF(ISNA(INDEX($A$34:$U$106,MATCH($B129,$B$34:$B$106,0),13)),"",INDEX($A$34:$U$106,MATCH($B129,$B$34:$B$106,0),13))</f>
        <v>0</v>
      </c>
      <c r="N129" s="19">
        <f>IF(ISNA(INDEX($A$34:$U$106,MATCH($B129,$B$34:$B$106,0),14)),"",INDEX($A$34:$U$106,MATCH($B129,$B$34:$B$106,0),14))</f>
        <v>1</v>
      </c>
      <c r="O129" s="19">
        <f>IF(ISNA(INDEX($A$34:$U$106,MATCH($B129,$B$34:$B$106,0),15)),"",INDEX($A$34:$U$106,MATCH($B129,$B$34:$B$106,0),15))</f>
        <v>4</v>
      </c>
      <c r="P129" s="19">
        <f>IF(ISNA(INDEX($A$34:$U$106,MATCH($B129,$B$34:$B$106,0),16)),"",INDEX($A$34:$U$106,MATCH($B129,$B$34:$B$106,0),16))</f>
        <v>9</v>
      </c>
      <c r="Q129" s="19">
        <f>IF(ISNA(INDEX($A$34:$U$106,MATCH($B129,$B$34:$B$106,0),17)),"",INDEX($A$34:$U$106,MATCH($B129,$B$34:$B$106,0),17))</f>
        <v>13</v>
      </c>
      <c r="R129" s="29" t="str">
        <f>IF(ISNA(INDEX($A$34:$U$106,MATCH($B129,$B$34:$B$106,0),18)),"",INDEX($A$34:$U$106,MATCH($B129,$B$34:$B$106,0),18))</f>
        <v>E</v>
      </c>
      <c r="S129" s="29">
        <f>IF(ISNA(INDEX($A$34:$U$106,MATCH($B129,$B$34:$B$106,0),19)),"",INDEX($A$34:$U$106,MATCH($B129,$B$34:$B$106,0),19))</f>
        <v>0</v>
      </c>
      <c r="T129" s="29">
        <f>IF(ISNA(INDEX($A$34:$U$106,MATCH($B129,$B$34:$B$106,0),20)),"",INDEX($A$34:$U$106,MATCH($B129,$B$34:$B$106,0),20))</f>
        <v>0</v>
      </c>
      <c r="U129" s="20" t="s">
        <v>36</v>
      </c>
    </row>
    <row r="130" spans="1:21" x14ac:dyDescent="0.2">
      <c r="A130" s="33" t="str">
        <f>IF(ISNA(INDEX($A$34:$U$106,MATCH($B130,$B$34:$B$106,0),1)),"",INDEX($A$34:$U$106,MATCH($B130,$B$34:$B$106,0),1))</f>
        <v>MMG9105</v>
      </c>
      <c r="B130" s="185" t="s">
        <v>164</v>
      </c>
      <c r="C130" s="185"/>
      <c r="D130" s="185"/>
      <c r="E130" s="185"/>
      <c r="F130" s="185"/>
      <c r="G130" s="185"/>
      <c r="H130" s="185"/>
      <c r="I130" s="185"/>
      <c r="J130" s="19">
        <f>IF(ISNA(INDEX($A$34:$U$106,MATCH($B130,$B$34:$B$106,0),10)),"",INDEX($A$34:$U$106,MATCH($B130,$B$34:$B$106,0),10))</f>
        <v>3</v>
      </c>
      <c r="K130" s="19">
        <f>IF(ISNA(INDEX($A$34:$U$106,MATCH($B130,$B$34:$B$106,0),11)),"",INDEX($A$34:$U$106,MATCH($B130,$B$34:$B$106,0),11))</f>
        <v>0</v>
      </c>
      <c r="L130" s="19">
        <f>IF(ISNA(INDEX($A$34:$U$106,MATCH($B130,$B$34:$B$106,0),12)),"",INDEX($A$34:$U$106,MATCH($B130,$B$34:$B$106,0),12))</f>
        <v>0</v>
      </c>
      <c r="M130" s="19">
        <f>IF(ISNA(INDEX($A$34:$U$106,MATCH($B130,$B$34:$B$106,0),13)),"",INDEX($A$34:$U$106,MATCH($B130,$B$34:$B$106,0),13))</f>
        <v>0</v>
      </c>
      <c r="N130" s="19">
        <f>IF(ISNA(INDEX($A$34:$U$106,MATCH($B130,$B$34:$B$106,0),14)),"",INDEX($A$34:$U$106,MATCH($B130,$B$34:$B$106,0),14))</f>
        <v>1</v>
      </c>
      <c r="O130" s="19">
        <f>IF(ISNA(INDEX($A$34:$U$106,MATCH($B130,$B$34:$B$106,0),15)),"",INDEX($A$34:$U$106,MATCH($B130,$B$34:$B$106,0),15))</f>
        <v>1</v>
      </c>
      <c r="P130" s="19">
        <f>IF(ISNA(INDEX($A$34:$U$106,MATCH($B130,$B$34:$B$106,0),16)),"",INDEX($A$34:$U$106,MATCH($B130,$B$34:$B$106,0),16))</f>
        <v>4</v>
      </c>
      <c r="Q130" s="19">
        <f>IF(ISNA(INDEX($A$34:$U$106,MATCH($B130,$B$34:$B$106,0),17)),"",INDEX($A$34:$U$106,MATCH($B130,$B$34:$B$106,0),17))</f>
        <v>5</v>
      </c>
      <c r="R130" s="29" t="str">
        <f>IF(ISNA(INDEX($A$34:$U$106,MATCH($B130,$B$34:$B$106,0),18)),"",INDEX($A$34:$U$106,MATCH($B130,$B$34:$B$106,0),18))</f>
        <v>E</v>
      </c>
      <c r="S130" s="29">
        <f>IF(ISNA(INDEX($A$34:$U$106,MATCH($B130,$B$34:$B$106,0),19)),"",INDEX($A$34:$U$106,MATCH($B130,$B$34:$B$106,0),19))</f>
        <v>0</v>
      </c>
      <c r="T130" s="29">
        <f>IF(ISNA(INDEX($A$34:$U$106,MATCH($B130,$B$34:$B$106,0),20)),"",INDEX($A$34:$U$106,MATCH($B130,$B$34:$B$106,0),20))</f>
        <v>0</v>
      </c>
      <c r="U130" s="20" t="s">
        <v>36</v>
      </c>
    </row>
    <row r="131" spans="1:21" x14ac:dyDescent="0.2">
      <c r="A131" s="33" t="str">
        <f>IF(ISNA(INDEX($A$34:$U$106,MATCH($B131,$B$34:$B$106,0),1)),"",INDEX($A$34:$U$106,MATCH($B131,$B$34:$B$106,0),1))</f>
        <v>MMX9703</v>
      </c>
      <c r="B131" s="195" t="s">
        <v>118</v>
      </c>
      <c r="C131" s="195"/>
      <c r="D131" s="195"/>
      <c r="E131" s="195"/>
      <c r="F131" s="195"/>
      <c r="G131" s="195"/>
      <c r="H131" s="195"/>
      <c r="I131" s="195"/>
      <c r="J131" s="19">
        <f>IF(ISNA(INDEX($A$34:$U$106,MATCH($B131,$B$34:$B$106,0),10)),"",INDEX($A$34:$U$106,MATCH($B131,$B$34:$B$106,0),10))</f>
        <v>7</v>
      </c>
      <c r="K131" s="19">
        <f>IF(ISNA(INDEX($A$34:$U$106,MATCH($B131,$B$34:$B$106,0),11)),"",INDEX($A$34:$U$106,MATCH($B131,$B$34:$B$106,0),11))</f>
        <v>2</v>
      </c>
      <c r="L131" s="19">
        <f>IF(ISNA(INDEX($A$34:$U$106,MATCH($B131,$B$34:$B$106,0),12)),"",INDEX($A$34:$U$106,MATCH($B131,$B$34:$B$106,0),12))</f>
        <v>1</v>
      </c>
      <c r="M131" s="19">
        <f>IF(ISNA(INDEX($A$34:$U$106,MATCH($B131,$B$34:$B$106,0),13)),"",INDEX($A$34:$U$106,MATCH($B131,$B$34:$B$106,0),13))</f>
        <v>0</v>
      </c>
      <c r="N131" s="19">
        <f>IF(ISNA(INDEX($A$34:$U$106,MATCH($B131,$B$34:$B$106,0),14)),"",INDEX($A$34:$U$106,MATCH($B131,$B$34:$B$106,0),14))</f>
        <v>1</v>
      </c>
      <c r="O131" s="19">
        <f>IF(ISNA(INDEX($A$34:$U$106,MATCH($B131,$B$34:$B$106,0),15)),"",INDEX($A$34:$U$106,MATCH($B131,$B$34:$B$106,0),15))</f>
        <v>4</v>
      </c>
      <c r="P131" s="19">
        <f>IF(ISNA(INDEX($A$34:$U$106,MATCH($B131,$B$34:$B$106,0),16)),"",INDEX($A$34:$U$106,MATCH($B131,$B$34:$B$106,0),16))</f>
        <v>9</v>
      </c>
      <c r="Q131" s="19">
        <f>IF(ISNA(INDEX($A$34:$U$106,MATCH($B131,$B$34:$B$106,0),17)),"",INDEX($A$34:$U$106,MATCH($B131,$B$34:$B$106,0),17))</f>
        <v>13</v>
      </c>
      <c r="R131" s="29" t="str">
        <f>IF(ISNA(INDEX($A$34:$U$106,MATCH($B131,$B$34:$B$106,0),18)),"",INDEX($A$34:$U$106,MATCH($B131,$B$34:$B$106,0),18))</f>
        <v>E</v>
      </c>
      <c r="S131" s="29">
        <f>IF(ISNA(INDEX($A$34:$U$106,MATCH($B131,$B$34:$B$106,0),19)),"",INDEX($A$34:$U$106,MATCH($B131,$B$34:$B$106,0),19))</f>
        <v>0</v>
      </c>
      <c r="T131" s="29">
        <f>IF(ISNA(INDEX($A$34:$U$106,MATCH($B131,$B$34:$B$106,0),20)),"",INDEX($A$34:$U$106,MATCH($B131,$B$34:$B$106,0),20))</f>
        <v>0</v>
      </c>
      <c r="U131" s="20" t="s">
        <v>36</v>
      </c>
    </row>
    <row r="132" spans="1:21" x14ac:dyDescent="0.2">
      <c r="A132" s="21" t="s">
        <v>23</v>
      </c>
      <c r="B132" s="186"/>
      <c r="C132" s="187"/>
      <c r="D132" s="187"/>
      <c r="E132" s="187"/>
      <c r="F132" s="187"/>
      <c r="G132" s="187"/>
      <c r="H132" s="187"/>
      <c r="I132" s="188"/>
      <c r="J132" s="23">
        <f t="shared" ref="J132" si="26">SUM(J128:J131)</f>
        <v>23</v>
      </c>
      <c r="K132" s="23">
        <f t="shared" ref="K132:Q132" si="27">SUM(K128:K131)</f>
        <v>6</v>
      </c>
      <c r="L132" s="23">
        <f t="shared" si="27"/>
        <v>3</v>
      </c>
      <c r="M132" s="23">
        <f t="shared" si="27"/>
        <v>0</v>
      </c>
      <c r="N132" s="23">
        <f t="shared" si="27"/>
        <v>4</v>
      </c>
      <c r="O132" s="23">
        <f t="shared" si="27"/>
        <v>13</v>
      </c>
      <c r="P132" s="23">
        <f t="shared" si="27"/>
        <v>29</v>
      </c>
      <c r="Q132" s="23">
        <f t="shared" si="27"/>
        <v>42</v>
      </c>
      <c r="R132" s="23">
        <f>COUNTIF(R128:R131,"E")</f>
        <v>4</v>
      </c>
      <c r="S132" s="59">
        <f>COUNTIF(S125:S131,"E")</f>
        <v>0</v>
      </c>
      <c r="T132" s="59">
        <f>COUNTIF(T125:T131,"C")</f>
        <v>0</v>
      </c>
      <c r="U132" s="59"/>
    </row>
    <row r="133" spans="1:21" ht="18.75" customHeight="1" x14ac:dyDescent="0.2">
      <c r="A133" s="147" t="s">
        <v>60</v>
      </c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  <c r="R133" s="181"/>
      <c r="S133" s="181"/>
      <c r="T133" s="181"/>
      <c r="U133" s="148"/>
    </row>
    <row r="134" spans="1:21" x14ac:dyDescent="0.2">
      <c r="A134" s="33" t="str">
        <f>IF(ISNA(INDEX($A$34:$U$106,MATCH($B134,$B$34:$B$106,0),1)),"",INDEX($A$34:$U$106,MATCH($B134,$B$34:$B$106,0),1))</f>
        <v>MMG9012</v>
      </c>
      <c r="B134" s="195" t="s">
        <v>145</v>
      </c>
      <c r="C134" s="195"/>
      <c r="D134" s="195"/>
      <c r="E134" s="195"/>
      <c r="F134" s="195"/>
      <c r="G134" s="195"/>
      <c r="H134" s="195"/>
      <c r="I134" s="195"/>
      <c r="J134" s="19">
        <f>IF(ISNA(INDEX($A$34:$U$106,MATCH($B134,$B$34:$B$106,0),10)),"",INDEX($A$34:$U$106,MATCH($B134,$B$34:$B$106,0),10))</f>
        <v>20</v>
      </c>
      <c r="K134" s="19">
        <f>IF(ISNA(INDEX($A$34:$U$106,MATCH($B134,$B$34:$B$106,0),11)),"",INDEX($A$34:$U$106,MATCH($B134,$B$34:$B$106,0),11))</f>
        <v>0</v>
      </c>
      <c r="L134" s="19">
        <f>IF(ISNA(INDEX($A$34:$U$106,MATCH($B134,$B$34:$B$106,0),12)),"",INDEX($A$34:$U$106,MATCH($B134,$B$34:$B$106,0),12))</f>
        <v>0</v>
      </c>
      <c r="M134" s="19">
        <f>IF(ISNA(INDEX($A$34:$U$106,MATCH($B134,$B$34:$B$106,0),13)),"",INDEX($A$34:$U$106,MATCH($B134,$B$34:$B$106,0),13))</f>
        <v>4</v>
      </c>
      <c r="N134" s="19">
        <f>IF(ISNA(INDEX($A$34:$U$106,MATCH($B134,$B$34:$B$106,0),14)),"",INDEX($A$34:$U$106,MATCH($B134,$B$34:$B$106,0),14))</f>
        <v>12</v>
      </c>
      <c r="O134" s="19">
        <f>IF(ISNA(INDEX($A$34:$U$106,MATCH($B134,$B$34:$B$106,0),15)),"",INDEX($A$34:$U$106,MATCH($B134,$B$34:$B$106,0),15))</f>
        <v>16</v>
      </c>
      <c r="P134" s="19">
        <f>IF(ISNA(INDEX($A$34:$U$106,MATCH($B134,$B$34:$B$106,0),16)),"",INDEX($A$34:$U$106,MATCH($B134,$B$34:$B$106,0),16))</f>
        <v>26</v>
      </c>
      <c r="Q134" s="19">
        <f>IF(ISNA(INDEX($A$34:$U$106,MATCH($B134,$B$34:$B$106,0),17)),"",INDEX($A$34:$U$106,MATCH($B134,$B$34:$B$106,0),17))</f>
        <v>42</v>
      </c>
      <c r="R134" s="29">
        <f>IF(ISNA(INDEX($A$34:$U$106,MATCH($B134,$B$34:$B$106,0),18)),"",INDEX($A$34:$U$106,MATCH($B134,$B$34:$B$106,0),18))</f>
        <v>0</v>
      </c>
      <c r="S134" s="29" t="str">
        <f>IF(ISNA(INDEX($A$34:$U$106,MATCH($B134,$B$34:$B$106,0),19)),"",INDEX($A$34:$U$106,MATCH($B134,$B$34:$B$106,0),19))</f>
        <v>C</v>
      </c>
      <c r="T134" s="29">
        <f>IF(ISNA(INDEX($A$34:$U$106,MATCH($B134,$B$34:$B$106,0),20)),"",INDEX($A$34:$U$106,MATCH($B134,$B$34:$B$106,0),20))</f>
        <v>0</v>
      </c>
      <c r="U134" s="20" t="s">
        <v>36</v>
      </c>
    </row>
    <row r="135" spans="1:21" ht="25.5" customHeight="1" x14ac:dyDescent="0.2">
      <c r="A135" s="33" t="str">
        <f>IF(ISNA(INDEX($A$34:$U$106,MATCH($B135,$B$34:$B$106,0),1)),"",INDEX($A$34:$U$106,MATCH($B135,$B$34:$B$106,0),1))</f>
        <v>MMG9104</v>
      </c>
      <c r="B135" s="192" t="s">
        <v>165</v>
      </c>
      <c r="C135" s="193"/>
      <c r="D135" s="193"/>
      <c r="E135" s="193"/>
      <c r="F135" s="193"/>
      <c r="G135" s="193"/>
      <c r="H135" s="193"/>
      <c r="I135" s="194"/>
      <c r="J135" s="19">
        <f>IF(ISNA(INDEX($A$34:$U$106,MATCH($B135,$B$34:$B$106,0),10)),"",INDEX($A$34:$U$106,MATCH($B135,$B$34:$B$106,0),10))</f>
        <v>6</v>
      </c>
      <c r="K135" s="19">
        <f>IF(ISNA(INDEX($A$34:$U$106,MATCH($B135,$B$34:$B$106,0),11)),"",INDEX($A$34:$U$106,MATCH($B135,$B$34:$B$106,0),11))</f>
        <v>0</v>
      </c>
      <c r="L135" s="19">
        <f>IF(ISNA(INDEX($A$34:$U$106,MATCH($B135,$B$34:$B$106,0),12)),"",INDEX($A$34:$U$106,MATCH($B135,$B$34:$B$106,0),12))</f>
        <v>0</v>
      </c>
      <c r="M135" s="19">
        <f>IF(ISNA(INDEX($A$34:$U$106,MATCH($B135,$B$34:$B$106,0),13)),"",INDEX($A$34:$U$106,MATCH($B135,$B$34:$B$106,0),13))</f>
        <v>1</v>
      </c>
      <c r="N135" s="19">
        <f>IF(ISNA(INDEX($A$34:$U$106,MATCH($B135,$B$34:$B$106,0),14)),"",INDEX($A$34:$U$106,MATCH($B135,$B$34:$B$106,0),14))</f>
        <v>2</v>
      </c>
      <c r="O135" s="19">
        <f>IF(ISNA(INDEX($A$34:$U$106,MATCH($B135,$B$34:$B$106,0),15)),"",INDEX($A$34:$U$106,MATCH($B135,$B$34:$B$106,0),15))</f>
        <v>3</v>
      </c>
      <c r="P135" s="19">
        <f>IF(ISNA(INDEX($A$34:$U$106,MATCH($B135,$B$34:$B$106,0),16)),"",INDEX($A$34:$U$106,MATCH($B135,$B$34:$B$106,0),16))</f>
        <v>10</v>
      </c>
      <c r="Q135" s="19">
        <f>IF(ISNA(INDEX($A$34:$U$106,MATCH($B135,$B$34:$B$106,0),17)),"",INDEX($A$34:$U$106,MATCH($B135,$B$34:$B$106,0),17))</f>
        <v>13</v>
      </c>
      <c r="R135" s="29">
        <f>IF(ISNA(INDEX($A$34:$U$106,MATCH($B135,$B$34:$B$106,0),18)),"",INDEX($A$34:$U$106,MATCH($B135,$B$34:$B$106,0),18))</f>
        <v>0</v>
      </c>
      <c r="S135" s="29" t="str">
        <f>IF(ISNA(INDEX($A$34:$U$106,MATCH($B135,$B$34:$B$106,0),19)),"",INDEX($A$34:$U$106,MATCH($B135,$B$34:$B$106,0),19))</f>
        <v>C</v>
      </c>
      <c r="T135" s="29">
        <f>IF(ISNA(INDEX($A$34:$U$106,MATCH($B135,$B$34:$B$106,0),20)),"",INDEX($A$34:$U$106,MATCH($B135,$B$34:$B$106,0),20))</f>
        <v>0</v>
      </c>
      <c r="U135" s="20" t="s">
        <v>36</v>
      </c>
    </row>
    <row r="136" spans="1:21" ht="25.5" customHeight="1" x14ac:dyDescent="0.2">
      <c r="A136" s="33" t="str">
        <f>IF(ISNA(INDEX($A$34:$U$106,MATCH($B136,$B$34:$B$106,0),1)),"",INDEX($A$34:$U$106,MATCH($B136,$B$34:$B$106,0),1))</f>
        <v>MMG3042</v>
      </c>
      <c r="B136" s="185" t="s">
        <v>146</v>
      </c>
      <c r="C136" s="185"/>
      <c r="D136" s="185"/>
      <c r="E136" s="185"/>
      <c r="F136" s="185"/>
      <c r="G136" s="185"/>
      <c r="H136" s="185"/>
      <c r="I136" s="185"/>
      <c r="J136" s="19">
        <f>IF(ISNA(INDEX($A$34:$U$106,MATCH($B136,$B$34:$B$106,0),10)),"",INDEX($A$34:$U$106,MATCH($B136,$B$34:$B$106,0),10))</f>
        <v>4</v>
      </c>
      <c r="K136" s="19">
        <f>IF(ISNA(INDEX($A$34:$U$106,MATCH($B136,$B$34:$B$106,0),11)),"",INDEX($A$34:$U$106,MATCH($B136,$B$34:$B$106,0),11))</f>
        <v>0</v>
      </c>
      <c r="L136" s="19">
        <f>IF(ISNA(INDEX($A$34:$U$106,MATCH($B136,$B$34:$B$106,0),12)),"",INDEX($A$34:$U$106,MATCH($B136,$B$34:$B$106,0),12))</f>
        <v>0</v>
      </c>
      <c r="M136" s="19">
        <f>IF(ISNA(INDEX($A$34:$U$106,MATCH($B136,$B$34:$B$106,0),13)),"",INDEX($A$34:$U$106,MATCH($B136,$B$34:$B$106,0),13))</f>
        <v>0</v>
      </c>
      <c r="N136" s="19">
        <f>IF(ISNA(INDEX($A$34:$U$106,MATCH($B136,$B$34:$B$106,0),14)),"",INDEX($A$34:$U$106,MATCH($B136,$B$34:$B$106,0),14))</f>
        <v>5</v>
      </c>
      <c r="O136" s="19">
        <f>IF(ISNA(INDEX($A$34:$U$106,MATCH($B136,$B$34:$B$106,0),15)),"",INDEX($A$34:$U$106,MATCH($B136,$B$34:$B$106,0),15))</f>
        <v>5</v>
      </c>
      <c r="P136" s="19">
        <f>IF(ISNA(INDEX($A$34:$U$106,MATCH($B136,$B$34:$B$106,0),16)),"",INDEX($A$34:$U$106,MATCH($B136,$B$34:$B$106,0),16))</f>
        <v>3</v>
      </c>
      <c r="Q136" s="19">
        <f>IF(ISNA(INDEX($A$34:$U$106,MATCH($B136,$B$34:$B$106,0),17)),"",INDEX($A$34:$U$106,MATCH($B136,$B$34:$B$106,0),17))</f>
        <v>8</v>
      </c>
      <c r="R136" s="29">
        <f>IF(ISNA(INDEX($A$34:$U$106,MATCH($B136,$B$34:$B$106,0),18)),"",INDEX($A$34:$U$106,MATCH($B136,$B$34:$B$106,0),18))</f>
        <v>0</v>
      </c>
      <c r="S136" s="29">
        <f>IF(ISNA(INDEX($A$34:$U$106,MATCH($B136,$B$34:$B$106,0),19)),"",INDEX($A$34:$U$106,MATCH($B136,$B$34:$B$106,0),19))</f>
        <v>0</v>
      </c>
      <c r="T136" s="29" t="str">
        <f>IF(ISNA(INDEX($A$34:$U$106,MATCH($B136,$B$34:$B$106,0),20)),"",INDEX($A$34:$U$106,MATCH($B136,$B$34:$B$106,0),20))</f>
        <v>VP</v>
      </c>
      <c r="U136" s="20" t="s">
        <v>36</v>
      </c>
    </row>
    <row r="137" spans="1:21" x14ac:dyDescent="0.2">
      <c r="A137" s="21" t="s">
        <v>23</v>
      </c>
      <c r="B137" s="180"/>
      <c r="C137" s="180"/>
      <c r="D137" s="180"/>
      <c r="E137" s="180"/>
      <c r="F137" s="180"/>
      <c r="G137" s="180"/>
      <c r="H137" s="180"/>
      <c r="I137" s="180"/>
      <c r="J137" s="23">
        <f t="shared" ref="J137:Q137" si="28">SUM(J134:J136)</f>
        <v>30</v>
      </c>
      <c r="K137" s="23">
        <f>SUM(K134:K136)</f>
        <v>0</v>
      </c>
      <c r="L137" s="23">
        <f t="shared" si="28"/>
        <v>0</v>
      </c>
      <c r="M137" s="23">
        <f t="shared" si="28"/>
        <v>5</v>
      </c>
      <c r="N137" s="23">
        <f t="shared" si="28"/>
        <v>19</v>
      </c>
      <c r="O137" s="23">
        <f t="shared" si="28"/>
        <v>24</v>
      </c>
      <c r="P137" s="23">
        <f t="shared" si="28"/>
        <v>39</v>
      </c>
      <c r="Q137" s="23">
        <f t="shared" si="28"/>
        <v>63</v>
      </c>
      <c r="R137" s="21">
        <f>COUNTIF(R134:R136,"E")</f>
        <v>0</v>
      </c>
      <c r="S137" s="21">
        <f>COUNTIF(S134:S136,"C")</f>
        <v>2</v>
      </c>
      <c r="T137" s="21">
        <f>COUNTIF(T134:T136,"VP")</f>
        <v>1</v>
      </c>
      <c r="U137" s="22"/>
    </row>
    <row r="138" spans="1:21" ht="30.75" customHeight="1" x14ac:dyDescent="0.2">
      <c r="A138" s="189" t="s">
        <v>68</v>
      </c>
      <c r="B138" s="190"/>
      <c r="C138" s="190"/>
      <c r="D138" s="190"/>
      <c r="E138" s="190"/>
      <c r="F138" s="190"/>
      <c r="G138" s="190"/>
      <c r="H138" s="190"/>
      <c r="I138" s="191"/>
      <c r="J138" s="23">
        <f t="shared" ref="J138:T138" si="29">SUM(J132,J137)</f>
        <v>53</v>
      </c>
      <c r="K138" s="23">
        <f>SUM(K132,K137)</f>
        <v>6</v>
      </c>
      <c r="L138" s="23">
        <f t="shared" si="29"/>
        <v>3</v>
      </c>
      <c r="M138" s="23">
        <f t="shared" si="29"/>
        <v>5</v>
      </c>
      <c r="N138" s="23">
        <f t="shared" si="29"/>
        <v>23</v>
      </c>
      <c r="O138" s="23">
        <f t="shared" si="29"/>
        <v>37</v>
      </c>
      <c r="P138" s="23">
        <f t="shared" si="29"/>
        <v>68</v>
      </c>
      <c r="Q138" s="23">
        <f t="shared" si="29"/>
        <v>105</v>
      </c>
      <c r="R138" s="23">
        <f t="shared" si="29"/>
        <v>4</v>
      </c>
      <c r="S138" s="23">
        <f t="shared" si="29"/>
        <v>2</v>
      </c>
      <c r="T138" s="23">
        <f t="shared" si="29"/>
        <v>1</v>
      </c>
      <c r="U138" s="28"/>
    </row>
    <row r="139" spans="1:21" ht="15.75" customHeight="1" x14ac:dyDescent="0.2">
      <c r="A139" s="151" t="s">
        <v>46</v>
      </c>
      <c r="B139" s="152"/>
      <c r="C139" s="152"/>
      <c r="D139" s="152"/>
      <c r="E139" s="152"/>
      <c r="F139" s="152"/>
      <c r="G139" s="152"/>
      <c r="H139" s="152"/>
      <c r="I139" s="152"/>
      <c r="J139" s="153"/>
      <c r="K139" s="68">
        <f>K132*14+K137*12</f>
        <v>84</v>
      </c>
      <c r="L139" s="23">
        <f t="shared" ref="L139:Q139" si="30">L132*14+L137*12</f>
        <v>42</v>
      </c>
      <c r="M139" s="23">
        <f t="shared" si="30"/>
        <v>60</v>
      </c>
      <c r="N139" s="23">
        <f t="shared" si="30"/>
        <v>284</v>
      </c>
      <c r="O139" s="23">
        <f t="shared" si="30"/>
        <v>470</v>
      </c>
      <c r="P139" s="23">
        <f t="shared" si="30"/>
        <v>874</v>
      </c>
      <c r="Q139" s="23">
        <f t="shared" si="30"/>
        <v>1344</v>
      </c>
      <c r="R139" s="157"/>
      <c r="S139" s="158"/>
      <c r="T139" s="158"/>
      <c r="U139" s="159"/>
    </row>
    <row r="140" spans="1:21" ht="17.25" customHeight="1" x14ac:dyDescent="0.2">
      <c r="A140" s="154"/>
      <c r="B140" s="155"/>
      <c r="C140" s="155"/>
      <c r="D140" s="155"/>
      <c r="E140" s="155"/>
      <c r="F140" s="155"/>
      <c r="G140" s="155"/>
      <c r="H140" s="155"/>
      <c r="I140" s="155"/>
      <c r="J140" s="156"/>
      <c r="K140" s="100">
        <f>SUM(K139:N139)</f>
        <v>470</v>
      </c>
      <c r="L140" s="101"/>
      <c r="M140" s="101"/>
      <c r="N140" s="102"/>
      <c r="O140" s="182">
        <f>SUM(O139:P139)</f>
        <v>1344</v>
      </c>
      <c r="P140" s="183"/>
      <c r="Q140" s="184"/>
      <c r="R140" s="160"/>
      <c r="S140" s="161"/>
      <c r="T140" s="161"/>
      <c r="U140" s="162"/>
    </row>
    <row r="141" spans="1:21" ht="8.25" customHeight="1" x14ac:dyDescent="0.2"/>
    <row r="142" spans="1:21" s="69" customFormat="1" x14ac:dyDescent="0.2"/>
    <row r="143" spans="1:21" s="69" customFormat="1" x14ac:dyDescent="0.2"/>
    <row r="144" spans="1:21" s="69" customFormat="1" x14ac:dyDescent="0.2"/>
    <row r="145" spans="1:21" s="73" customFormat="1" x14ac:dyDescent="0.2"/>
    <row r="146" spans="1:21" s="69" customFormat="1" x14ac:dyDescent="0.2"/>
    <row r="147" spans="1:21" s="69" customFormat="1" x14ac:dyDescent="0.2"/>
    <row r="148" spans="1:21" s="69" customFormat="1" x14ac:dyDescent="0.2"/>
    <row r="149" spans="1:21" s="69" customFormat="1" x14ac:dyDescent="0.2"/>
    <row r="150" spans="1:21" s="69" customFormat="1" x14ac:dyDescent="0.2"/>
    <row r="151" spans="1:21" s="69" customFormat="1" x14ac:dyDescent="0.2"/>
    <row r="153" spans="1:21" ht="23.25" customHeight="1" x14ac:dyDescent="0.2">
      <c r="A153" s="147" t="s">
        <v>63</v>
      </c>
      <c r="B153" s="181"/>
      <c r="C153" s="181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48"/>
    </row>
    <row r="154" spans="1:21" ht="26.25" customHeight="1" x14ac:dyDescent="0.2">
      <c r="A154" s="180" t="s">
        <v>25</v>
      </c>
      <c r="B154" s="180" t="s">
        <v>24</v>
      </c>
      <c r="C154" s="180"/>
      <c r="D154" s="180"/>
      <c r="E154" s="180"/>
      <c r="F154" s="180"/>
      <c r="G154" s="180"/>
      <c r="H154" s="180"/>
      <c r="I154" s="180"/>
      <c r="J154" s="131" t="s">
        <v>38</v>
      </c>
      <c r="K154" s="82" t="s">
        <v>22</v>
      </c>
      <c r="L154" s="83"/>
      <c r="M154" s="83"/>
      <c r="N154" s="84"/>
      <c r="O154" s="131" t="s">
        <v>39</v>
      </c>
      <c r="P154" s="131"/>
      <c r="Q154" s="131"/>
      <c r="R154" s="131" t="s">
        <v>21</v>
      </c>
      <c r="S154" s="131"/>
      <c r="T154" s="131"/>
      <c r="U154" s="131" t="s">
        <v>20</v>
      </c>
    </row>
    <row r="155" spans="1:21" x14ac:dyDescent="0.2">
      <c r="A155" s="180"/>
      <c r="B155" s="180"/>
      <c r="C155" s="180"/>
      <c r="D155" s="180"/>
      <c r="E155" s="180"/>
      <c r="F155" s="180"/>
      <c r="G155" s="180"/>
      <c r="H155" s="180"/>
      <c r="I155" s="180"/>
      <c r="J155" s="131"/>
      <c r="K155" s="58" t="s">
        <v>26</v>
      </c>
      <c r="L155" s="30" t="s">
        <v>27</v>
      </c>
      <c r="M155" s="30" t="s">
        <v>157</v>
      </c>
      <c r="N155" s="30" t="s">
        <v>158</v>
      </c>
      <c r="O155" s="30" t="s">
        <v>32</v>
      </c>
      <c r="P155" s="30" t="s">
        <v>6</v>
      </c>
      <c r="Q155" s="30" t="s">
        <v>29</v>
      </c>
      <c r="R155" s="30" t="s">
        <v>30</v>
      </c>
      <c r="S155" s="30" t="s">
        <v>26</v>
      </c>
      <c r="T155" s="30" t="s">
        <v>31</v>
      </c>
      <c r="U155" s="131"/>
    </row>
    <row r="156" spans="1:21" ht="18.75" customHeight="1" x14ac:dyDescent="0.2">
      <c r="A156" s="147" t="s">
        <v>59</v>
      </c>
      <c r="B156" s="181"/>
      <c r="C156" s="181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48"/>
    </row>
    <row r="157" spans="1:21" ht="25.5" customHeight="1" x14ac:dyDescent="0.2">
      <c r="A157" s="33" t="str">
        <f>IF(ISNA(INDEX($A$34:$U$106,MATCH($B157,$B$34:$B$106,0),1)),"",INDEX($A$34:$U$106,MATCH($B157,$B$34:$B$106,0),1))</f>
        <v>MMG8153</v>
      </c>
      <c r="B157" s="185" t="s">
        <v>161</v>
      </c>
      <c r="C157" s="185"/>
      <c r="D157" s="185"/>
      <c r="E157" s="185"/>
      <c r="F157" s="185"/>
      <c r="G157" s="185"/>
      <c r="H157" s="185"/>
      <c r="I157" s="185"/>
      <c r="J157" s="19">
        <f>IF(ISNA(INDEX($A$34:$U$106,MATCH($B157,$B$34:$B$106,0),10)),"",INDEX($A$34:$U$106,MATCH($B157,$B$34:$B$106,0),10))</f>
        <v>8</v>
      </c>
      <c r="K157" s="19">
        <f>IF(ISNA(INDEX($A$34:$U$106,MATCH($B157,$B$34:$B$106,0),11)),"",INDEX($A$34:$U$106,MATCH($B157,$B$34:$B$106,0),11))</f>
        <v>2</v>
      </c>
      <c r="L157" s="19">
        <f>IF(ISNA(INDEX($A$34:$U$106,MATCH($B157,$B$34:$B$106,0),12)),"",INDEX($A$34:$U$106,MATCH($B157,$B$34:$B$106,0),12))</f>
        <v>1</v>
      </c>
      <c r="M157" s="19">
        <f>IF(ISNA(INDEX($A$34:$U$106,MATCH($B157,$B$34:$B$106,0),13)),"",INDEX($A$34:$U$106,MATCH($B157,$B$34:$B$106,0),13))</f>
        <v>0</v>
      </c>
      <c r="N157" s="19">
        <f>IF(ISNA(INDEX($A$34:$U$106,MATCH($B157,$B$34:$B$106,0),14)),"",INDEX($A$34:$U$106,MATCH($B157,$B$34:$B$106,0),14))</f>
        <v>1</v>
      </c>
      <c r="O157" s="19">
        <f>IF(ISNA(INDEX($A$34:$U$106,MATCH($B157,$B$34:$B$106,0),15)),"",INDEX($A$34:$U$106,MATCH($B157,$B$34:$B$106,0),15))</f>
        <v>4</v>
      </c>
      <c r="P157" s="19">
        <f>IF(ISNA(INDEX($A$34:$U$106,MATCH($B157,$B$34:$B$106,0),16)),"",INDEX($A$34:$U$106,MATCH($B157,$B$34:$B$106,0),16))</f>
        <v>10</v>
      </c>
      <c r="Q157" s="19">
        <f>IF(ISNA(INDEX($A$34:$U$106,MATCH($B157,$B$34:$B$106,0),17)),"",INDEX($A$34:$U$106,MATCH($B157,$B$34:$B$106,0),17))</f>
        <v>14</v>
      </c>
      <c r="R157" s="29" t="str">
        <f>IF(ISNA(INDEX($A$34:$U$106,MATCH($B157,$B$34:$B$106,0),18)),"",INDEX($A$34:$U$106,MATCH($B157,$B$34:$B$106,0),18))</f>
        <v>E</v>
      </c>
      <c r="S157" s="29">
        <f>IF(ISNA(INDEX($A$34:$U$106,MATCH($B157,$B$34:$B$106,0),19)),"",INDEX($A$34:$U$106,MATCH($B157,$B$34:$B$106,0),19))</f>
        <v>0</v>
      </c>
      <c r="T157" s="29">
        <f>IF(ISNA(INDEX($A$34:$U$106,MATCH($B157,$B$34:$B$106,0),20)),"",INDEX($A$34:$U$106,MATCH($B157,$B$34:$B$106,0),20))</f>
        <v>0</v>
      </c>
      <c r="U157" s="18" t="s">
        <v>37</v>
      </c>
    </row>
    <row r="158" spans="1:21" ht="25.5" customHeight="1" x14ac:dyDescent="0.2">
      <c r="A158" s="33" t="str">
        <f>IF(ISNA(INDEX($A$34:$U$106,MATCH($B158,$B$34:$B$106,0),1)),"",INDEX($A$34:$U$106,MATCH($B158,$B$34:$B$106,0),1))</f>
        <v>MMG9106</v>
      </c>
      <c r="B158" s="185" t="s">
        <v>140</v>
      </c>
      <c r="C158" s="185"/>
      <c r="D158" s="185"/>
      <c r="E158" s="185"/>
      <c r="F158" s="185"/>
      <c r="G158" s="185"/>
      <c r="H158" s="185"/>
      <c r="I158" s="185"/>
      <c r="J158" s="19">
        <f>IF(ISNA(INDEX($A$34:$U$106,MATCH($B158,$B$34:$B$106,0),10)),"",INDEX($A$34:$U$106,MATCH($B158,$B$34:$B$106,0),10))</f>
        <v>4</v>
      </c>
      <c r="K158" s="19">
        <f>IF(ISNA(INDEX($A$34:$U$106,MATCH($B158,$B$34:$B$106,0),11)),"",INDEX($A$34:$U$106,MATCH($B158,$B$34:$B$106,0),11))</f>
        <v>0</v>
      </c>
      <c r="L158" s="19">
        <f>IF(ISNA(INDEX($A$34:$U$106,MATCH($B158,$B$34:$B$106,0),12)),"",INDEX($A$34:$U$106,MATCH($B158,$B$34:$B$106,0),12))</f>
        <v>2</v>
      </c>
      <c r="M158" s="19">
        <f>IF(ISNA(INDEX($A$34:$U$106,MATCH($B158,$B$34:$B$106,0),13)),"",INDEX($A$34:$U$106,MATCH($B158,$B$34:$B$106,0),13))</f>
        <v>1</v>
      </c>
      <c r="N158" s="19">
        <f>IF(ISNA(INDEX($A$34:$U$106,MATCH($B158,$B$34:$B$106,0),14)),"",INDEX($A$34:$U$106,MATCH($B158,$B$34:$B$106,0),14))</f>
        <v>1</v>
      </c>
      <c r="O158" s="19">
        <f>IF(ISNA(INDEX($A$34:$U$106,MATCH($B158,$B$34:$B$106,0),15)),"",INDEX($A$34:$U$106,MATCH($B158,$B$34:$B$106,0),15))</f>
        <v>4</v>
      </c>
      <c r="P158" s="19">
        <f>IF(ISNA(INDEX($A$34:$U$106,MATCH($B158,$B$34:$B$106,0),16)),"",INDEX($A$34:$U$106,MATCH($B158,$B$34:$B$106,0),16))</f>
        <v>3</v>
      </c>
      <c r="Q158" s="19">
        <f>IF(ISNA(INDEX($A$34:$U$106,MATCH($B158,$B$34:$B$106,0),17)),"",INDEX($A$34:$U$106,MATCH($B158,$B$34:$B$106,0),17))</f>
        <v>7</v>
      </c>
      <c r="R158" s="29" t="str">
        <f>IF(ISNA(INDEX($A$34:$U$106,MATCH($B158,$B$34:$B$106,0),18)),"",INDEX($A$34:$U$106,MATCH($B158,$B$34:$B$106,0),18))</f>
        <v>E</v>
      </c>
      <c r="S158" s="29">
        <f>IF(ISNA(INDEX($A$34:$U$106,MATCH($B158,$B$34:$B$106,0),19)),"",INDEX($A$34:$U$106,MATCH($B158,$B$34:$B$106,0),19))</f>
        <v>0</v>
      </c>
      <c r="T158" s="29">
        <f>IF(ISNA(INDEX($A$34:$U$106,MATCH($B158,$B$34:$B$106,0),20)),"",INDEX($A$34:$U$106,MATCH($B158,$B$34:$B$106,0),20))</f>
        <v>0</v>
      </c>
      <c r="U158" s="18" t="s">
        <v>37</v>
      </c>
    </row>
    <row r="159" spans="1:21" ht="25.5" customHeight="1" x14ac:dyDescent="0.2">
      <c r="A159" s="33" t="str">
        <f>IF(ISNA(INDEX($A$34:$U$106,MATCH($B159,$B$34:$B$106,0),1)),"",INDEX($A$34:$U$106,MATCH($B159,$B$34:$B$106,0),1))</f>
        <v>MMG9107</v>
      </c>
      <c r="B159" s="185" t="s">
        <v>142</v>
      </c>
      <c r="C159" s="185"/>
      <c r="D159" s="185"/>
      <c r="E159" s="185"/>
      <c r="F159" s="185"/>
      <c r="G159" s="185"/>
      <c r="H159" s="185"/>
      <c r="I159" s="185"/>
      <c r="J159" s="19">
        <f>IF(ISNA(INDEX($A$34:$U$106,MATCH($B159,$B$34:$B$106,0),10)),"",INDEX($A$34:$U$106,MATCH($B159,$B$34:$B$106,0),10))</f>
        <v>4</v>
      </c>
      <c r="K159" s="19">
        <f>IF(ISNA(INDEX($A$34:$U$106,MATCH($B159,$B$34:$B$106,0),11)),"",INDEX($A$34:$U$106,MATCH($B159,$B$34:$B$106,0),11))</f>
        <v>0</v>
      </c>
      <c r="L159" s="19">
        <f>IF(ISNA(INDEX($A$34:$U$106,MATCH($B159,$B$34:$B$106,0),12)),"",INDEX($A$34:$U$106,MATCH($B159,$B$34:$B$106,0),12))</f>
        <v>2</v>
      </c>
      <c r="M159" s="19">
        <f>IF(ISNA(INDEX($A$34:$U$106,MATCH($B159,$B$34:$B$106,0),13)),"",INDEX($A$34:$U$106,MATCH($B159,$B$34:$B$106,0),13))</f>
        <v>1</v>
      </c>
      <c r="N159" s="19">
        <f>IF(ISNA(INDEX($A$34:$U$106,MATCH($B159,$B$34:$B$106,0),14)),"",INDEX($A$34:$U$106,MATCH($B159,$B$34:$B$106,0),14))</f>
        <v>1</v>
      </c>
      <c r="O159" s="19">
        <f>IF(ISNA(INDEX($A$34:$U$106,MATCH($B159,$B$34:$B$106,0),15)),"",INDEX($A$34:$U$106,MATCH($B159,$B$34:$B$106,0),15))</f>
        <v>4</v>
      </c>
      <c r="P159" s="19">
        <f>IF(ISNA(INDEX($A$34:$U$106,MATCH($B159,$B$34:$B$106,0),16)),"",INDEX($A$34:$U$106,MATCH($B159,$B$34:$B$106,0),16))</f>
        <v>3</v>
      </c>
      <c r="Q159" s="19">
        <f>IF(ISNA(INDEX($A$34:$U$106,MATCH($B159,$B$34:$B$106,0),17)),"",INDEX($A$34:$U$106,MATCH($B159,$B$34:$B$106,0),17))</f>
        <v>7</v>
      </c>
      <c r="R159" s="29" t="str">
        <f>IF(ISNA(INDEX($A$34:$U$106,MATCH($B159,$B$34:$B$106,0),18)),"",INDEX($A$34:$U$106,MATCH($B159,$B$34:$B$106,0),18))</f>
        <v>E</v>
      </c>
      <c r="S159" s="29">
        <f>IF(ISNA(INDEX($A$34:$U$106,MATCH($B159,$B$34:$B$106,0),19)),"",INDEX($A$34:$U$106,MATCH($B159,$B$34:$B$106,0),19))</f>
        <v>0</v>
      </c>
      <c r="T159" s="29">
        <f>IF(ISNA(INDEX($A$34:$U$106,MATCH($B159,$B$34:$B$106,0),20)),"",INDEX($A$34:$U$106,MATCH($B159,$B$34:$B$106,0),20))</f>
        <v>0</v>
      </c>
      <c r="U159" s="18" t="s">
        <v>37</v>
      </c>
    </row>
    <row r="160" spans="1:21" ht="25.5" customHeight="1" x14ac:dyDescent="0.2">
      <c r="A160" s="33" t="str">
        <f>IF(ISNA(INDEX($A$34:$U$106,MATCH($B160,$B$34:$B$106,0),1)),"",INDEX($A$34:$U$106,MATCH($B160,$B$34:$B$106,0),1))</f>
        <v>MMG9108</v>
      </c>
      <c r="B160" s="185" t="s">
        <v>144</v>
      </c>
      <c r="C160" s="185"/>
      <c r="D160" s="185"/>
      <c r="E160" s="185"/>
      <c r="F160" s="185"/>
      <c r="G160" s="185"/>
      <c r="H160" s="185"/>
      <c r="I160" s="185"/>
      <c r="J160" s="19">
        <f>IF(ISNA(INDEX($A$34:$U$106,MATCH($B160,$B$34:$B$106,0),10)),"",INDEX($A$34:$U$106,MATCH($B160,$B$34:$B$106,0),10))</f>
        <v>4</v>
      </c>
      <c r="K160" s="19">
        <f>IF(ISNA(INDEX($A$34:$U$106,MATCH($B160,$B$34:$B$106,0),11)),"",INDEX($A$34:$U$106,MATCH($B160,$B$34:$B$106,0),11))</f>
        <v>0</v>
      </c>
      <c r="L160" s="19">
        <f>IF(ISNA(INDEX($A$34:$U$106,MATCH($B160,$B$34:$B$106,0),12)),"",INDEX($A$34:$U$106,MATCH($B160,$B$34:$B$106,0),12))</f>
        <v>2</v>
      </c>
      <c r="M160" s="19">
        <f>IF(ISNA(INDEX($A$34:$U$106,MATCH($B160,$B$34:$B$106,0),13)),"",INDEX($A$34:$U$106,MATCH($B160,$B$34:$B$106,0),13))</f>
        <v>1</v>
      </c>
      <c r="N160" s="19">
        <f>IF(ISNA(INDEX($A$34:$U$106,MATCH($B160,$B$34:$B$106,0),14)),"",INDEX($A$34:$U$106,MATCH($B160,$B$34:$B$106,0),14))</f>
        <v>1</v>
      </c>
      <c r="O160" s="19">
        <f>IF(ISNA(INDEX($A$34:$U$106,MATCH($B160,$B$34:$B$106,0),15)),"",INDEX($A$34:$U$106,MATCH($B160,$B$34:$B$106,0),15))</f>
        <v>4</v>
      </c>
      <c r="P160" s="19">
        <f>IF(ISNA(INDEX($A$34:$U$106,MATCH($B160,$B$34:$B$106,0),16)),"",INDEX($A$34:$U$106,MATCH($B160,$B$34:$B$106,0),16))</f>
        <v>3</v>
      </c>
      <c r="Q160" s="19">
        <f>IF(ISNA(INDEX($A$34:$U$106,MATCH($B160,$B$34:$B$106,0),17)),"",INDEX($A$34:$U$106,MATCH($B160,$B$34:$B$106,0),17))</f>
        <v>7</v>
      </c>
      <c r="R160" s="29" t="str">
        <f>IF(ISNA(INDEX($A$34:$U$106,MATCH($B160,$B$34:$B$106,0),18)),"",INDEX($A$34:$U$106,MATCH($B160,$B$34:$B$106,0),18))</f>
        <v>E</v>
      </c>
      <c r="S160" s="29">
        <f>IF(ISNA(INDEX($A$34:$U$106,MATCH($B160,$B$34:$B$106,0),19)),"",INDEX($A$34:$U$106,MATCH($B160,$B$34:$B$106,0),19))</f>
        <v>0</v>
      </c>
      <c r="T160" s="29">
        <f>IF(ISNA(INDEX($A$34:$U$106,MATCH($B160,$B$34:$B$106,0),20)),"",INDEX($A$34:$U$106,MATCH($B160,$B$34:$B$106,0),20))</f>
        <v>0</v>
      </c>
      <c r="U160" s="18" t="s">
        <v>37</v>
      </c>
    </row>
    <row r="161" spans="1:21" x14ac:dyDescent="0.2">
      <c r="A161" s="21" t="s">
        <v>23</v>
      </c>
      <c r="B161" s="186"/>
      <c r="C161" s="187"/>
      <c r="D161" s="187"/>
      <c r="E161" s="187"/>
      <c r="F161" s="187"/>
      <c r="G161" s="187"/>
      <c r="H161" s="187"/>
      <c r="I161" s="188"/>
      <c r="J161" s="23">
        <f t="shared" ref="J161:Q161" si="31">SUM(J157:J160)</f>
        <v>20</v>
      </c>
      <c r="K161" s="23">
        <f>SUM(K157:K160)</f>
        <v>2</v>
      </c>
      <c r="L161" s="23">
        <f t="shared" si="31"/>
        <v>7</v>
      </c>
      <c r="M161" s="23">
        <f t="shared" si="31"/>
        <v>3</v>
      </c>
      <c r="N161" s="23">
        <f t="shared" si="31"/>
        <v>4</v>
      </c>
      <c r="O161" s="23">
        <f t="shared" si="31"/>
        <v>16</v>
      </c>
      <c r="P161" s="23">
        <f t="shared" si="31"/>
        <v>19</v>
      </c>
      <c r="Q161" s="23">
        <f t="shared" si="31"/>
        <v>35</v>
      </c>
      <c r="R161" s="21">
        <f>COUNTIF(R157:R160,"E")</f>
        <v>4</v>
      </c>
      <c r="S161" s="21">
        <f>COUNTIF(S157:S160,"C")</f>
        <v>0</v>
      </c>
      <c r="T161" s="21">
        <f>COUNTIF(T157:T160,"VP")</f>
        <v>0</v>
      </c>
      <c r="U161" s="18"/>
    </row>
    <row r="162" spans="1:21" ht="25.5" customHeight="1" x14ac:dyDescent="0.2">
      <c r="A162" s="189" t="s">
        <v>68</v>
      </c>
      <c r="B162" s="190"/>
      <c r="C162" s="190"/>
      <c r="D162" s="190"/>
      <c r="E162" s="190"/>
      <c r="F162" s="190"/>
      <c r="G162" s="190"/>
      <c r="H162" s="190"/>
      <c r="I162" s="191"/>
      <c r="J162" s="23">
        <f t="shared" ref="J162:T162" si="32">SUM(J161)</f>
        <v>20</v>
      </c>
      <c r="K162" s="23">
        <f>SUM(K161)</f>
        <v>2</v>
      </c>
      <c r="L162" s="23">
        <f t="shared" si="32"/>
        <v>7</v>
      </c>
      <c r="M162" s="23">
        <f t="shared" si="32"/>
        <v>3</v>
      </c>
      <c r="N162" s="23">
        <f t="shared" si="32"/>
        <v>4</v>
      </c>
      <c r="O162" s="23">
        <f t="shared" si="32"/>
        <v>16</v>
      </c>
      <c r="P162" s="23">
        <f t="shared" si="32"/>
        <v>19</v>
      </c>
      <c r="Q162" s="23">
        <f t="shared" si="32"/>
        <v>35</v>
      </c>
      <c r="R162" s="23">
        <f t="shared" si="32"/>
        <v>4</v>
      </c>
      <c r="S162" s="23">
        <f t="shared" si="32"/>
        <v>0</v>
      </c>
      <c r="T162" s="23">
        <f t="shared" si="32"/>
        <v>0</v>
      </c>
      <c r="U162" s="28"/>
    </row>
    <row r="163" spans="1:21" ht="13.5" customHeight="1" x14ac:dyDescent="0.2">
      <c r="A163" s="151" t="s">
        <v>46</v>
      </c>
      <c r="B163" s="152"/>
      <c r="C163" s="152"/>
      <c r="D163" s="152"/>
      <c r="E163" s="152"/>
      <c r="F163" s="152"/>
      <c r="G163" s="152"/>
      <c r="H163" s="152"/>
      <c r="I163" s="152"/>
      <c r="J163" s="153"/>
      <c r="K163" s="68">
        <f>K161*14</f>
        <v>28</v>
      </c>
      <c r="L163" s="23">
        <f t="shared" ref="L163:Q163" si="33">L161*14</f>
        <v>98</v>
      </c>
      <c r="M163" s="23">
        <f t="shared" si="33"/>
        <v>42</v>
      </c>
      <c r="N163" s="23">
        <f t="shared" si="33"/>
        <v>56</v>
      </c>
      <c r="O163" s="23">
        <f t="shared" si="33"/>
        <v>224</v>
      </c>
      <c r="P163" s="23">
        <f t="shared" si="33"/>
        <v>266</v>
      </c>
      <c r="Q163" s="23">
        <f t="shared" si="33"/>
        <v>490</v>
      </c>
      <c r="R163" s="157"/>
      <c r="S163" s="158"/>
      <c r="T163" s="158"/>
      <c r="U163" s="159"/>
    </row>
    <row r="164" spans="1:21" ht="16.5" customHeight="1" x14ac:dyDescent="0.2">
      <c r="A164" s="154"/>
      <c r="B164" s="155"/>
      <c r="C164" s="155"/>
      <c r="D164" s="155"/>
      <c r="E164" s="155"/>
      <c r="F164" s="155"/>
      <c r="G164" s="155"/>
      <c r="H164" s="155"/>
      <c r="I164" s="155"/>
      <c r="J164" s="156"/>
      <c r="K164" s="97">
        <f>SUM(K163:N163)</f>
        <v>224</v>
      </c>
      <c r="L164" s="98"/>
      <c r="M164" s="98"/>
      <c r="N164" s="99"/>
      <c r="O164" s="182">
        <f>SUM(O163:P163)</f>
        <v>490</v>
      </c>
      <c r="P164" s="183"/>
      <c r="Q164" s="184"/>
      <c r="R164" s="160"/>
      <c r="S164" s="161"/>
      <c r="T164" s="161"/>
      <c r="U164" s="162"/>
    </row>
    <row r="165" spans="1:21" ht="8.25" customHeight="1" x14ac:dyDescent="0.2"/>
    <row r="166" spans="1:21" x14ac:dyDescent="0.2">
      <c r="B166" s="2"/>
      <c r="C166" s="2"/>
      <c r="D166" s="2"/>
      <c r="E166" s="2"/>
      <c r="F166" s="2"/>
      <c r="G166" s="2"/>
      <c r="N166" s="8"/>
      <c r="O166" s="8"/>
      <c r="P166" s="8"/>
      <c r="Q166" s="8"/>
      <c r="R166" s="8"/>
      <c r="S166" s="8"/>
      <c r="T166" s="8"/>
    </row>
    <row r="167" spans="1:21" x14ac:dyDescent="0.2">
      <c r="B167" s="8"/>
      <c r="C167" s="8"/>
      <c r="D167" s="8"/>
      <c r="E167" s="8"/>
      <c r="F167" s="8"/>
      <c r="G167" s="8"/>
      <c r="H167" s="16"/>
      <c r="I167" s="16"/>
      <c r="J167" s="16"/>
      <c r="K167" s="16"/>
      <c r="N167" s="8"/>
      <c r="O167" s="8"/>
      <c r="P167" s="8"/>
      <c r="Q167" s="8"/>
      <c r="R167" s="8"/>
      <c r="S167" s="8"/>
      <c r="T167" s="8"/>
    </row>
    <row r="168" spans="1:21" ht="12" customHeight="1" x14ac:dyDescent="0.2"/>
    <row r="169" spans="1:21" x14ac:dyDescent="0.2">
      <c r="A169" s="109" t="s">
        <v>57</v>
      </c>
      <c r="B169" s="109"/>
    </row>
    <row r="170" spans="1:21" ht="12.75" customHeight="1" x14ac:dyDescent="0.2">
      <c r="A170" s="110" t="s">
        <v>25</v>
      </c>
      <c r="B170" s="112" t="s">
        <v>49</v>
      </c>
      <c r="C170" s="113"/>
      <c r="D170" s="113"/>
      <c r="E170" s="113"/>
      <c r="F170" s="113"/>
      <c r="G170" s="114"/>
      <c r="H170" s="112" t="s">
        <v>52</v>
      </c>
      <c r="I170" s="114"/>
      <c r="J170" s="128" t="s">
        <v>53</v>
      </c>
      <c r="K170" s="129"/>
      <c r="L170" s="129"/>
      <c r="M170" s="129"/>
      <c r="N170" s="129"/>
      <c r="O170" s="129"/>
      <c r="P170" s="130"/>
      <c r="Q170" s="112" t="s">
        <v>45</v>
      </c>
      <c r="R170" s="114"/>
      <c r="S170" s="128" t="s">
        <v>54</v>
      </c>
      <c r="T170" s="129"/>
      <c r="U170" s="130"/>
    </row>
    <row r="171" spans="1:21" x14ac:dyDescent="0.2">
      <c r="A171" s="111"/>
      <c r="B171" s="115"/>
      <c r="C171" s="116"/>
      <c r="D171" s="116"/>
      <c r="E171" s="116"/>
      <c r="F171" s="116"/>
      <c r="G171" s="117"/>
      <c r="H171" s="115"/>
      <c r="I171" s="117"/>
      <c r="J171" s="128" t="s">
        <v>32</v>
      </c>
      <c r="K171" s="129"/>
      <c r="L171" s="130"/>
      <c r="M171" s="128" t="s">
        <v>6</v>
      </c>
      <c r="N171" s="130"/>
      <c r="O171" s="128" t="s">
        <v>29</v>
      </c>
      <c r="P171" s="130"/>
      <c r="Q171" s="115"/>
      <c r="R171" s="117"/>
      <c r="S171" s="39" t="s">
        <v>55</v>
      </c>
      <c r="T171" s="128" t="s">
        <v>56</v>
      </c>
      <c r="U171" s="130"/>
    </row>
    <row r="172" spans="1:21" x14ac:dyDescent="0.2">
      <c r="A172" s="39">
        <v>1</v>
      </c>
      <c r="B172" s="128" t="s">
        <v>50</v>
      </c>
      <c r="C172" s="129"/>
      <c r="D172" s="129"/>
      <c r="E172" s="129"/>
      <c r="F172" s="129"/>
      <c r="G172" s="130"/>
      <c r="H172" s="169">
        <f>J172</f>
        <v>918</v>
      </c>
      <c r="I172" s="169"/>
      <c r="J172" s="177">
        <f>SUM((O42+O52+O66)*14+(O76*12)-J173)</f>
        <v>918</v>
      </c>
      <c r="K172" s="178"/>
      <c r="L172" s="179"/>
      <c r="M172" s="177">
        <f>SUM((P42+P52+P66)*14+(P76*12)-M173)</f>
        <v>1560</v>
      </c>
      <c r="N172" s="179"/>
      <c r="O172" s="163">
        <f>SUM(J172:N172)</f>
        <v>2478</v>
      </c>
      <c r="P172" s="164"/>
      <c r="Q172" s="165">
        <f>H172/H174</f>
        <v>0.84530386740331487</v>
      </c>
      <c r="R172" s="166"/>
      <c r="S172" s="40">
        <f>J42+J52-S173</f>
        <v>46</v>
      </c>
      <c r="T172" s="167">
        <f>J66+J76-T173</f>
        <v>53</v>
      </c>
      <c r="U172" s="168"/>
    </row>
    <row r="173" spans="1:21" x14ac:dyDescent="0.2">
      <c r="A173" s="39">
        <v>2</v>
      </c>
      <c r="B173" s="128" t="s">
        <v>51</v>
      </c>
      <c r="C173" s="129"/>
      <c r="D173" s="129"/>
      <c r="E173" s="129"/>
      <c r="F173" s="129"/>
      <c r="G173" s="130"/>
      <c r="H173" s="169">
        <f>J173</f>
        <v>168</v>
      </c>
      <c r="I173" s="169"/>
      <c r="J173" s="170">
        <f>O103</f>
        <v>168</v>
      </c>
      <c r="K173" s="171"/>
      <c r="L173" s="172"/>
      <c r="M173" s="170">
        <f>P103</f>
        <v>378</v>
      </c>
      <c r="N173" s="173"/>
      <c r="O173" s="174">
        <f>SUM(J173:N173)</f>
        <v>546</v>
      </c>
      <c r="P173" s="164"/>
      <c r="Q173" s="165">
        <f>H173/H174</f>
        <v>0.15469613259668508</v>
      </c>
      <c r="R173" s="166"/>
      <c r="S173" s="17">
        <v>14</v>
      </c>
      <c r="T173" s="175">
        <v>7</v>
      </c>
      <c r="U173" s="176"/>
    </row>
    <row r="174" spans="1:21" x14ac:dyDescent="0.2">
      <c r="A174" s="128" t="s">
        <v>23</v>
      </c>
      <c r="B174" s="129"/>
      <c r="C174" s="129"/>
      <c r="D174" s="129"/>
      <c r="E174" s="129"/>
      <c r="F174" s="129"/>
      <c r="G174" s="130"/>
      <c r="H174" s="131">
        <f>SUM(H172:I173)</f>
        <v>1086</v>
      </c>
      <c r="I174" s="131"/>
      <c r="J174" s="131">
        <f>SUM(J172:L173)</f>
        <v>1086</v>
      </c>
      <c r="K174" s="131"/>
      <c r="L174" s="131"/>
      <c r="M174" s="147">
        <f>SUM(M172:N173)</f>
        <v>1938</v>
      </c>
      <c r="N174" s="148"/>
      <c r="O174" s="147">
        <f>SUM(O172:P173)</f>
        <v>3024</v>
      </c>
      <c r="P174" s="148"/>
      <c r="Q174" s="149">
        <f>SUM(Q172:R173)</f>
        <v>1</v>
      </c>
      <c r="R174" s="150"/>
      <c r="S174" s="41">
        <f>SUM(S172:S173)</f>
        <v>60</v>
      </c>
      <c r="T174" s="133">
        <f>SUM(T172:U173)</f>
        <v>60</v>
      </c>
      <c r="U174" s="134"/>
    </row>
    <row r="175" spans="1:21" s="69" customFormat="1" x14ac:dyDescent="0.2">
      <c r="A175" s="74"/>
      <c r="B175" s="74"/>
      <c r="C175" s="74"/>
      <c r="D175" s="74"/>
      <c r="E175" s="74"/>
      <c r="F175" s="74"/>
      <c r="G175" s="74"/>
      <c r="H175" s="75"/>
      <c r="I175" s="75"/>
      <c r="J175" s="75"/>
      <c r="K175" s="75"/>
      <c r="L175" s="75"/>
      <c r="M175" s="63"/>
      <c r="N175" s="63"/>
      <c r="O175" s="63"/>
      <c r="P175" s="63"/>
      <c r="Q175" s="76"/>
      <c r="R175" s="76"/>
      <c r="S175" s="77"/>
      <c r="T175" s="77"/>
      <c r="U175" s="77"/>
    </row>
    <row r="176" spans="1:21" s="69" customFormat="1" x14ac:dyDescent="0.2">
      <c r="A176" s="74"/>
      <c r="B176" s="74"/>
      <c r="C176" s="74"/>
      <c r="D176" s="74"/>
      <c r="E176" s="74"/>
      <c r="F176" s="74"/>
      <c r="G176" s="74"/>
      <c r="H176" s="75"/>
      <c r="I176" s="75"/>
      <c r="J176" s="75"/>
      <c r="K176" s="75"/>
      <c r="L176" s="75"/>
      <c r="M176" s="63"/>
      <c r="N176" s="63"/>
      <c r="O176" s="63"/>
      <c r="P176" s="63"/>
      <c r="Q176" s="76"/>
      <c r="R176" s="76"/>
      <c r="S176" s="77"/>
      <c r="T176" s="77"/>
      <c r="U176" s="77"/>
    </row>
    <row r="177" spans="1:21" s="73" customFormat="1" x14ac:dyDescent="0.2">
      <c r="A177" s="74"/>
      <c r="B177" s="74"/>
      <c r="C177" s="74"/>
      <c r="D177" s="74"/>
      <c r="E177" s="74"/>
      <c r="F177" s="74"/>
      <c r="G177" s="74"/>
      <c r="H177" s="75"/>
      <c r="I177" s="75"/>
      <c r="J177" s="75"/>
      <c r="K177" s="75"/>
      <c r="L177" s="75"/>
      <c r="M177" s="63"/>
      <c r="N177" s="63"/>
      <c r="O177" s="63"/>
      <c r="P177" s="63"/>
      <c r="Q177" s="76"/>
      <c r="R177" s="76"/>
      <c r="S177" s="77"/>
      <c r="T177" s="77"/>
      <c r="U177" s="77"/>
    </row>
    <row r="178" spans="1:21" s="73" customFormat="1" x14ac:dyDescent="0.2">
      <c r="A178" s="74"/>
      <c r="B178" s="74"/>
      <c r="C178" s="74"/>
      <c r="D178" s="74"/>
      <c r="E178" s="74"/>
      <c r="F178" s="74"/>
      <c r="G178" s="74"/>
      <c r="H178" s="75"/>
      <c r="I178" s="75"/>
      <c r="J178" s="75"/>
      <c r="K178" s="75"/>
      <c r="L178" s="75"/>
      <c r="M178" s="63"/>
      <c r="N178" s="63"/>
      <c r="O178" s="63"/>
      <c r="P178" s="63"/>
      <c r="Q178" s="76"/>
      <c r="R178" s="76"/>
      <c r="S178" s="77"/>
      <c r="T178" s="77"/>
      <c r="U178" s="77"/>
    </row>
    <row r="179" spans="1:21" s="73" customFormat="1" x14ac:dyDescent="0.2">
      <c r="A179" s="74"/>
      <c r="B179" s="74"/>
      <c r="C179" s="74"/>
      <c r="D179" s="74"/>
      <c r="E179" s="74"/>
      <c r="F179" s="74"/>
      <c r="G179" s="74"/>
      <c r="H179" s="75"/>
      <c r="I179" s="75"/>
      <c r="J179" s="75"/>
      <c r="K179" s="75"/>
      <c r="L179" s="75"/>
      <c r="M179" s="63"/>
      <c r="N179" s="63"/>
      <c r="O179" s="63"/>
      <c r="P179" s="63"/>
      <c r="Q179" s="76"/>
      <c r="R179" s="76"/>
      <c r="S179" s="77"/>
      <c r="T179" s="77"/>
      <c r="U179" s="77"/>
    </row>
    <row r="180" spans="1:21" s="69" customFormat="1" x14ac:dyDescent="0.2">
      <c r="A180" s="74"/>
      <c r="B180" s="74"/>
      <c r="C180" s="74"/>
      <c r="D180" s="74"/>
      <c r="E180" s="74"/>
      <c r="F180" s="74"/>
      <c r="G180" s="74"/>
      <c r="H180" s="75"/>
      <c r="I180" s="75"/>
      <c r="J180" s="75"/>
      <c r="K180" s="75"/>
      <c r="L180" s="75"/>
      <c r="M180" s="63"/>
      <c r="N180" s="63"/>
      <c r="O180" s="63"/>
      <c r="P180" s="63"/>
      <c r="Q180" s="76"/>
      <c r="R180" s="76"/>
      <c r="S180" s="77"/>
      <c r="T180" s="77"/>
      <c r="U180" s="77"/>
    </row>
    <row r="181" spans="1:21" s="69" customFormat="1" x14ac:dyDescent="0.2">
      <c r="A181" s="74"/>
      <c r="B181" s="74"/>
      <c r="C181" s="74"/>
      <c r="D181" s="74"/>
      <c r="E181" s="74"/>
      <c r="F181" s="74"/>
      <c r="G181" s="74"/>
      <c r="H181" s="75"/>
      <c r="I181" s="75"/>
      <c r="J181" s="75"/>
      <c r="K181" s="75"/>
      <c r="L181" s="75"/>
      <c r="M181" s="63"/>
      <c r="N181" s="63"/>
      <c r="O181" s="63"/>
      <c r="P181" s="63"/>
      <c r="Q181" s="76"/>
      <c r="R181" s="76"/>
      <c r="S181" s="77"/>
      <c r="T181" s="77"/>
      <c r="U181" s="77"/>
    </row>
    <row r="182" spans="1:21" s="69" customFormat="1" x14ac:dyDescent="0.2">
      <c r="A182" s="74"/>
      <c r="B182" s="74"/>
      <c r="C182" s="74"/>
      <c r="D182" s="74"/>
      <c r="E182" s="74"/>
      <c r="F182" s="74"/>
      <c r="G182" s="74"/>
      <c r="H182" s="75"/>
      <c r="I182" s="75"/>
      <c r="J182" s="75"/>
      <c r="K182" s="75"/>
      <c r="L182" s="75"/>
      <c r="M182" s="63"/>
      <c r="N182" s="63"/>
      <c r="O182" s="63"/>
      <c r="P182" s="63"/>
      <c r="Q182" s="76"/>
      <c r="R182" s="76"/>
      <c r="S182" s="77"/>
      <c r="T182" s="77"/>
      <c r="U182" s="77"/>
    </row>
    <row r="183" spans="1:21" s="69" customFormat="1" x14ac:dyDescent="0.2">
      <c r="A183" s="74"/>
      <c r="B183" s="74"/>
      <c r="C183" s="74"/>
      <c r="D183" s="74"/>
      <c r="E183" s="74"/>
      <c r="F183" s="74"/>
      <c r="G183" s="74"/>
      <c r="H183" s="75"/>
      <c r="I183" s="75"/>
      <c r="J183" s="75"/>
      <c r="K183" s="75"/>
      <c r="L183" s="75"/>
      <c r="M183" s="63"/>
      <c r="N183" s="63"/>
      <c r="O183" s="63"/>
      <c r="P183" s="63"/>
      <c r="Q183" s="76"/>
      <c r="R183" s="76"/>
      <c r="S183" s="77"/>
      <c r="T183" s="77"/>
      <c r="U183" s="77"/>
    </row>
    <row r="185" spans="1:21" x14ac:dyDescent="0.2">
      <c r="A185" s="146" t="s">
        <v>74</v>
      </c>
      <c r="B185" s="146"/>
      <c r="C185" s="146"/>
      <c r="D185" s="146"/>
      <c r="E185" s="146"/>
      <c r="F185" s="146"/>
      <c r="G185" s="146"/>
      <c r="H185" s="146"/>
      <c r="I185" s="146"/>
      <c r="J185" s="146"/>
      <c r="K185" s="146"/>
      <c r="L185" s="146"/>
      <c r="M185" s="146"/>
      <c r="N185" s="146"/>
      <c r="O185" s="146"/>
      <c r="P185" s="146"/>
      <c r="Q185" s="146"/>
      <c r="R185" s="146"/>
      <c r="S185" s="146"/>
      <c r="T185" s="146"/>
      <c r="U185" s="146"/>
    </row>
    <row r="187" spans="1:21" s="62" customFormat="1" x14ac:dyDescent="0.2">
      <c r="A187" s="85" t="s">
        <v>69</v>
      </c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7"/>
    </row>
    <row r="188" spans="1:21" s="62" customFormat="1" ht="12.75" customHeight="1" x14ac:dyDescent="0.2">
      <c r="A188" s="138" t="s">
        <v>25</v>
      </c>
      <c r="B188" s="138" t="s">
        <v>24</v>
      </c>
      <c r="C188" s="138"/>
      <c r="D188" s="138"/>
      <c r="E188" s="138"/>
      <c r="F188" s="138"/>
      <c r="G188" s="138"/>
      <c r="H188" s="138"/>
      <c r="I188" s="138"/>
      <c r="J188" s="132" t="s">
        <v>38</v>
      </c>
      <c r="K188" s="139" t="s">
        <v>22</v>
      </c>
      <c r="L188" s="140"/>
      <c r="M188" s="141"/>
      <c r="N188" s="132" t="s">
        <v>39</v>
      </c>
      <c r="O188" s="142"/>
      <c r="P188" s="142"/>
      <c r="Q188" s="132" t="s">
        <v>21</v>
      </c>
      <c r="R188" s="132"/>
      <c r="S188" s="132"/>
      <c r="T188" s="132" t="s">
        <v>20</v>
      </c>
    </row>
    <row r="189" spans="1:21" s="62" customFormat="1" x14ac:dyDescent="0.2">
      <c r="A189" s="138"/>
      <c r="B189" s="138"/>
      <c r="C189" s="138"/>
      <c r="D189" s="138"/>
      <c r="E189" s="138"/>
      <c r="F189" s="138"/>
      <c r="G189" s="138"/>
      <c r="H189" s="138"/>
      <c r="I189" s="138"/>
      <c r="J189" s="132"/>
      <c r="K189" s="56" t="s">
        <v>26</v>
      </c>
      <c r="L189" s="56" t="s">
        <v>27</v>
      </c>
      <c r="M189" s="56" t="s">
        <v>28</v>
      </c>
      <c r="N189" s="56" t="s">
        <v>32</v>
      </c>
      <c r="O189" s="56" t="s">
        <v>6</v>
      </c>
      <c r="P189" s="56" t="s">
        <v>29</v>
      </c>
      <c r="Q189" s="56" t="s">
        <v>30</v>
      </c>
      <c r="R189" s="56" t="s">
        <v>26</v>
      </c>
      <c r="S189" s="56" t="s">
        <v>31</v>
      </c>
      <c r="T189" s="132"/>
    </row>
    <row r="190" spans="1:21" s="62" customFormat="1" x14ac:dyDescent="0.2">
      <c r="A190" s="88" t="s">
        <v>70</v>
      </c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90"/>
    </row>
    <row r="191" spans="1:21" s="62" customFormat="1" ht="39.6" customHeight="1" x14ac:dyDescent="0.2">
      <c r="A191" s="57" t="s">
        <v>64</v>
      </c>
      <c r="B191" s="127" t="s">
        <v>88</v>
      </c>
      <c r="C191" s="127"/>
      <c r="D191" s="127"/>
      <c r="E191" s="127"/>
      <c r="F191" s="127"/>
      <c r="G191" s="127"/>
      <c r="H191" s="127"/>
      <c r="I191" s="127"/>
      <c r="J191" s="44">
        <v>5</v>
      </c>
      <c r="K191" s="44">
        <v>2</v>
      </c>
      <c r="L191" s="44">
        <v>1</v>
      </c>
      <c r="M191" s="44">
        <v>0</v>
      </c>
      <c r="N191" s="51">
        <f>K191+L191+M191</f>
        <v>3</v>
      </c>
      <c r="O191" s="51">
        <f>P191-N191</f>
        <v>6</v>
      </c>
      <c r="P191" s="51">
        <f>ROUND(PRODUCT(J191,25)/14,0)</f>
        <v>9</v>
      </c>
      <c r="Q191" s="44" t="s">
        <v>30</v>
      </c>
      <c r="R191" s="44"/>
      <c r="S191" s="44"/>
      <c r="T191" s="44" t="s">
        <v>35</v>
      </c>
    </row>
    <row r="192" spans="1:21" s="62" customFormat="1" ht="39.6" customHeight="1" x14ac:dyDescent="0.2">
      <c r="A192" s="57" t="s">
        <v>65</v>
      </c>
      <c r="B192" s="127" t="s">
        <v>89</v>
      </c>
      <c r="C192" s="127"/>
      <c r="D192" s="127"/>
      <c r="E192" s="127"/>
      <c r="F192" s="127"/>
      <c r="G192" s="127"/>
      <c r="H192" s="127"/>
      <c r="I192" s="127"/>
      <c r="J192" s="44">
        <v>5</v>
      </c>
      <c r="K192" s="44">
        <v>2</v>
      </c>
      <c r="L192" s="44">
        <v>1</v>
      </c>
      <c r="M192" s="44">
        <v>0</v>
      </c>
      <c r="N192" s="51">
        <f>K192+L192+M192</f>
        <v>3</v>
      </c>
      <c r="O192" s="51">
        <f>P192-N192</f>
        <v>6</v>
      </c>
      <c r="P192" s="51">
        <f>ROUND(PRODUCT(J192,25)/14,0)</f>
        <v>9</v>
      </c>
      <c r="Q192" s="44" t="s">
        <v>30</v>
      </c>
      <c r="R192" s="44"/>
      <c r="S192" s="44"/>
      <c r="T192" s="44" t="s">
        <v>35</v>
      </c>
    </row>
    <row r="193" spans="1:20" s="62" customFormat="1" ht="12.75" customHeight="1" x14ac:dyDescent="0.2">
      <c r="A193" s="91" t="s">
        <v>71</v>
      </c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3"/>
    </row>
    <row r="194" spans="1:20" s="62" customFormat="1" ht="67.900000000000006" customHeight="1" x14ac:dyDescent="0.2">
      <c r="A194" s="57" t="s">
        <v>66</v>
      </c>
      <c r="B194" s="135" t="s">
        <v>90</v>
      </c>
      <c r="C194" s="136"/>
      <c r="D194" s="136"/>
      <c r="E194" s="136"/>
      <c r="F194" s="136"/>
      <c r="G194" s="136"/>
      <c r="H194" s="136"/>
      <c r="I194" s="137"/>
      <c r="J194" s="44">
        <v>5</v>
      </c>
      <c r="K194" s="44">
        <v>2</v>
      </c>
      <c r="L194" s="44">
        <v>1</v>
      </c>
      <c r="M194" s="44">
        <v>0</v>
      </c>
      <c r="N194" s="51">
        <f>K194+L194+M194</f>
        <v>3</v>
      </c>
      <c r="O194" s="51">
        <f>P194-N194</f>
        <v>6</v>
      </c>
      <c r="P194" s="51">
        <f>ROUND(PRODUCT(J194,25)/14,0)</f>
        <v>9</v>
      </c>
      <c r="Q194" s="44" t="s">
        <v>30</v>
      </c>
      <c r="R194" s="44"/>
      <c r="S194" s="44"/>
      <c r="T194" s="44" t="s">
        <v>75</v>
      </c>
    </row>
    <row r="195" spans="1:20" s="62" customFormat="1" x14ac:dyDescent="0.2">
      <c r="A195" s="57" t="s">
        <v>67</v>
      </c>
      <c r="B195" s="135" t="s">
        <v>91</v>
      </c>
      <c r="C195" s="136"/>
      <c r="D195" s="136"/>
      <c r="E195" s="136"/>
      <c r="F195" s="136"/>
      <c r="G195" s="136"/>
      <c r="H195" s="136"/>
      <c r="I195" s="137"/>
      <c r="J195" s="44">
        <v>5</v>
      </c>
      <c r="K195" s="44">
        <v>1</v>
      </c>
      <c r="L195" s="44">
        <v>2</v>
      </c>
      <c r="M195" s="44">
        <v>0</v>
      </c>
      <c r="N195" s="51">
        <f>K195+L195+M195</f>
        <v>3</v>
      </c>
      <c r="O195" s="51">
        <f>P195-N195</f>
        <v>6</v>
      </c>
      <c r="P195" s="51">
        <f>ROUND(PRODUCT(J195,25)/14,0)</f>
        <v>9</v>
      </c>
      <c r="Q195" s="44" t="s">
        <v>30</v>
      </c>
      <c r="R195" s="44"/>
      <c r="S195" s="44"/>
      <c r="T195" s="44" t="s">
        <v>76</v>
      </c>
    </row>
    <row r="196" spans="1:20" s="62" customFormat="1" ht="12.75" customHeight="1" x14ac:dyDescent="0.2">
      <c r="A196" s="91" t="s">
        <v>72</v>
      </c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3"/>
    </row>
    <row r="197" spans="1:20" s="62" customFormat="1" ht="66" customHeight="1" x14ac:dyDescent="0.2">
      <c r="A197" s="57" t="s">
        <v>77</v>
      </c>
      <c r="B197" s="135" t="s">
        <v>92</v>
      </c>
      <c r="C197" s="136"/>
      <c r="D197" s="136"/>
      <c r="E197" s="136"/>
      <c r="F197" s="136"/>
      <c r="G197" s="136"/>
      <c r="H197" s="136"/>
      <c r="I197" s="137"/>
      <c r="J197" s="44">
        <v>5</v>
      </c>
      <c r="K197" s="44">
        <v>0</v>
      </c>
      <c r="L197" s="44">
        <v>0</v>
      </c>
      <c r="M197" s="44">
        <v>3</v>
      </c>
      <c r="N197" s="51">
        <f>K197+L197+M197</f>
        <v>3</v>
      </c>
      <c r="O197" s="51">
        <f>P197-N197</f>
        <v>6</v>
      </c>
      <c r="P197" s="51">
        <f>ROUND(PRODUCT(J197,25)/14,0)</f>
        <v>9</v>
      </c>
      <c r="Q197" s="44"/>
      <c r="R197" s="44" t="s">
        <v>26</v>
      </c>
      <c r="S197" s="44"/>
      <c r="T197" s="44" t="s">
        <v>75</v>
      </c>
    </row>
    <row r="198" spans="1:20" s="62" customFormat="1" x14ac:dyDescent="0.2">
      <c r="A198" s="57" t="s">
        <v>78</v>
      </c>
      <c r="B198" s="135" t="s">
        <v>93</v>
      </c>
      <c r="C198" s="136"/>
      <c r="D198" s="136"/>
      <c r="E198" s="136"/>
      <c r="F198" s="136"/>
      <c r="G198" s="136"/>
      <c r="H198" s="136"/>
      <c r="I198" s="137"/>
      <c r="J198" s="44">
        <v>5</v>
      </c>
      <c r="K198" s="44">
        <v>1</v>
      </c>
      <c r="L198" s="44">
        <v>2</v>
      </c>
      <c r="M198" s="44">
        <v>0</v>
      </c>
      <c r="N198" s="51">
        <f>K198+L198+M198</f>
        <v>3</v>
      </c>
      <c r="O198" s="51">
        <f>P198-N198</f>
        <v>6</v>
      </c>
      <c r="P198" s="51">
        <f>ROUND(PRODUCT(J198,25)/14,0)</f>
        <v>9</v>
      </c>
      <c r="Q198" s="44" t="s">
        <v>30</v>
      </c>
      <c r="R198" s="44"/>
      <c r="S198" s="44"/>
      <c r="T198" s="44" t="s">
        <v>76</v>
      </c>
    </row>
    <row r="199" spans="1:20" s="62" customFormat="1" ht="12.75" customHeight="1" x14ac:dyDescent="0.2">
      <c r="A199" s="94" t="s">
        <v>73</v>
      </c>
      <c r="B199" s="95"/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6"/>
    </row>
    <row r="200" spans="1:20" s="62" customFormat="1" ht="30.75" customHeight="1" x14ac:dyDescent="0.2">
      <c r="A200" s="57"/>
      <c r="B200" s="135" t="s">
        <v>94</v>
      </c>
      <c r="C200" s="136"/>
      <c r="D200" s="136"/>
      <c r="E200" s="136"/>
      <c r="F200" s="136"/>
      <c r="G200" s="136"/>
      <c r="H200" s="136"/>
      <c r="I200" s="137"/>
      <c r="J200" s="44">
        <v>5</v>
      </c>
      <c r="K200" s="44"/>
      <c r="L200" s="44"/>
      <c r="M200" s="44"/>
      <c r="N200" s="51"/>
      <c r="O200" s="51"/>
      <c r="P200" s="51"/>
      <c r="Q200" s="44"/>
      <c r="R200" s="44"/>
      <c r="S200" s="44"/>
      <c r="T200" s="52"/>
    </row>
    <row r="201" spans="1:20" s="62" customFormat="1" x14ac:dyDescent="0.2">
      <c r="A201" s="143" t="s">
        <v>68</v>
      </c>
      <c r="B201" s="144"/>
      <c r="C201" s="144"/>
      <c r="D201" s="144"/>
      <c r="E201" s="144"/>
      <c r="F201" s="144"/>
      <c r="G201" s="144"/>
      <c r="H201" s="144"/>
      <c r="I201" s="145"/>
      <c r="J201" s="45">
        <f>SUM(J191:J192,J194:J195,J197:J198,J200)</f>
        <v>35</v>
      </c>
      <c r="K201" s="45">
        <f t="shared" ref="K201:P201" si="34">SUM(K191:K192,K194:K195,K197:K198,K200)</f>
        <v>8</v>
      </c>
      <c r="L201" s="45">
        <f t="shared" si="34"/>
        <v>7</v>
      </c>
      <c r="M201" s="45">
        <f t="shared" si="34"/>
        <v>3</v>
      </c>
      <c r="N201" s="45">
        <f t="shared" si="34"/>
        <v>18</v>
      </c>
      <c r="O201" s="45">
        <f t="shared" si="34"/>
        <v>36</v>
      </c>
      <c r="P201" s="45">
        <f t="shared" si="34"/>
        <v>54</v>
      </c>
      <c r="Q201" s="47">
        <f>COUNTIF(Q191:Q192,"E")+COUNTIF(Q194:Q195,"E")+COUNTIF(Q197:Q198,"E")+COUNTIF(Q200,"E")</f>
        <v>5</v>
      </c>
      <c r="R201" s="47">
        <f>COUNTIF(R191:R192,"C")+COUNTIF(R194:R195,"C")+COUNTIF(R197:R198,"C")+COUNTIF(R200,"C")</f>
        <v>1</v>
      </c>
      <c r="S201" s="47">
        <f>COUNTIF(S191:S192,"VP")+COUNTIF(S194:S195,"VP")+COUNTIF(S197:S198,"VP")+COUNTIF(S200,"VP")</f>
        <v>0</v>
      </c>
      <c r="T201" s="46"/>
    </row>
    <row r="202" spans="1:20" s="62" customFormat="1" x14ac:dyDescent="0.2">
      <c r="A202" s="103" t="s">
        <v>46</v>
      </c>
      <c r="B202" s="104"/>
      <c r="C202" s="104"/>
      <c r="D202" s="104"/>
      <c r="E202" s="104"/>
      <c r="F202" s="104"/>
      <c r="G202" s="104"/>
      <c r="H202" s="104"/>
      <c r="I202" s="104"/>
      <c r="J202" s="105"/>
      <c r="K202" s="45">
        <f t="shared" ref="K202:P202" si="35">SUM(K191:K192,K194:K195,K197:K198)*14</f>
        <v>112</v>
      </c>
      <c r="L202" s="45">
        <f t="shared" si="35"/>
        <v>98</v>
      </c>
      <c r="M202" s="45">
        <f t="shared" si="35"/>
        <v>42</v>
      </c>
      <c r="N202" s="45">
        <f t="shared" si="35"/>
        <v>252</v>
      </c>
      <c r="O202" s="45">
        <f t="shared" si="35"/>
        <v>504</v>
      </c>
      <c r="P202" s="45">
        <f t="shared" si="35"/>
        <v>756</v>
      </c>
      <c r="Q202" s="118"/>
      <c r="R202" s="119"/>
      <c r="S202" s="119"/>
      <c r="T202" s="120"/>
    </row>
    <row r="203" spans="1:20" s="62" customFormat="1" x14ac:dyDescent="0.2">
      <c r="A203" s="106"/>
      <c r="B203" s="107"/>
      <c r="C203" s="107"/>
      <c r="D203" s="107"/>
      <c r="E203" s="107"/>
      <c r="F203" s="107"/>
      <c r="G203" s="107"/>
      <c r="H203" s="107"/>
      <c r="I203" s="107"/>
      <c r="J203" s="108"/>
      <c r="K203" s="124">
        <f>SUM(K202:M202)</f>
        <v>252</v>
      </c>
      <c r="L203" s="125"/>
      <c r="M203" s="126"/>
      <c r="N203" s="124">
        <f>SUM(N202:O202)</f>
        <v>756</v>
      </c>
      <c r="O203" s="125"/>
      <c r="P203" s="126"/>
      <c r="Q203" s="121"/>
      <c r="R203" s="122"/>
      <c r="S203" s="122"/>
      <c r="T203" s="123"/>
    </row>
    <row r="204" spans="1:20" s="62" customFormat="1" x14ac:dyDescent="0.2"/>
    <row r="205" spans="1:20" s="62" customFormat="1" x14ac:dyDescent="0.2">
      <c r="A205" s="78" t="s">
        <v>79</v>
      </c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</row>
    <row r="206" spans="1:20" s="62" customFormat="1" x14ac:dyDescent="0.2">
      <c r="A206" s="78" t="s">
        <v>80</v>
      </c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</row>
    <row r="207" spans="1:20" s="62" customFormat="1" x14ac:dyDescent="0.2">
      <c r="A207" s="78" t="s">
        <v>81</v>
      </c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</row>
  </sheetData>
  <sheetProtection formatCells="0" formatRows="0" insertRows="0"/>
  <mergeCells count="255">
    <mergeCell ref="B113:I113"/>
    <mergeCell ref="B114:I114"/>
    <mergeCell ref="B115:I115"/>
    <mergeCell ref="B112:I112"/>
    <mergeCell ref="A111:U111"/>
    <mergeCell ref="U109:U110"/>
    <mergeCell ref="B116:I116"/>
    <mergeCell ref="O109:Q109"/>
    <mergeCell ref="A58:U58"/>
    <mergeCell ref="U59:U60"/>
    <mergeCell ref="B73:I73"/>
    <mergeCell ref="B74:I74"/>
    <mergeCell ref="B75:I75"/>
    <mergeCell ref="A59:A60"/>
    <mergeCell ref="B59:I60"/>
    <mergeCell ref="A86:U86"/>
    <mergeCell ref="A108:U108"/>
    <mergeCell ref="A107:U107"/>
    <mergeCell ref="B61:I61"/>
    <mergeCell ref="U71:U72"/>
    <mergeCell ref="B66:I66"/>
    <mergeCell ref="B71:I72"/>
    <mergeCell ref="B63:I63"/>
    <mergeCell ref="B64:I64"/>
    <mergeCell ref="B117:I117"/>
    <mergeCell ref="B62:I62"/>
    <mergeCell ref="J59:J60"/>
    <mergeCell ref="A109:A110"/>
    <mergeCell ref="B109:I110"/>
    <mergeCell ref="J109:J110"/>
    <mergeCell ref="O59:Q59"/>
    <mergeCell ref="R59:T59"/>
    <mergeCell ref="O87:Q87"/>
    <mergeCell ref="A87:A88"/>
    <mergeCell ref="B76:I76"/>
    <mergeCell ref="A89:U89"/>
    <mergeCell ref="A94:U94"/>
    <mergeCell ref="B93:I93"/>
    <mergeCell ref="B97:I97"/>
    <mergeCell ref="B92:I92"/>
    <mergeCell ref="B96:I96"/>
    <mergeCell ref="B100:I100"/>
    <mergeCell ref="B101:I101"/>
    <mergeCell ref="B99:I99"/>
    <mergeCell ref="A98:U98"/>
    <mergeCell ref="B95:I95"/>
    <mergeCell ref="B90:I90"/>
    <mergeCell ref="R109:T109"/>
    <mergeCell ref="B65:I65"/>
    <mergeCell ref="A70:U70"/>
    <mergeCell ref="J71:J72"/>
    <mergeCell ref="O71:Q71"/>
    <mergeCell ref="R71:T71"/>
    <mergeCell ref="A71:A72"/>
    <mergeCell ref="J87:J88"/>
    <mergeCell ref="G26:G27"/>
    <mergeCell ref="A13:L13"/>
    <mergeCell ref="A14:L14"/>
    <mergeCell ref="A16:L16"/>
    <mergeCell ref="B35:I36"/>
    <mergeCell ref="N17:U17"/>
    <mergeCell ref="N18:U18"/>
    <mergeCell ref="N13:U13"/>
    <mergeCell ref="N16:U16"/>
    <mergeCell ref="B52:I52"/>
    <mergeCell ref="B49:I49"/>
    <mergeCell ref="B50:I50"/>
    <mergeCell ref="B39:I39"/>
    <mergeCell ref="B37:I37"/>
    <mergeCell ref="B38:I38"/>
    <mergeCell ref="B42:I42"/>
    <mergeCell ref="B47:I47"/>
    <mergeCell ref="A2:L2"/>
    <mergeCell ref="A6:L6"/>
    <mergeCell ref="P5:R5"/>
    <mergeCell ref="P6:R6"/>
    <mergeCell ref="P3:R3"/>
    <mergeCell ref="P4:R4"/>
    <mergeCell ref="N4:O4"/>
    <mergeCell ref="A10:L10"/>
    <mergeCell ref="N6:O6"/>
    <mergeCell ref="A7:L7"/>
    <mergeCell ref="A8:L8"/>
    <mergeCell ref="A9:L9"/>
    <mergeCell ref="N8:U11"/>
    <mergeCell ref="A11:L11"/>
    <mergeCell ref="S3:U3"/>
    <mergeCell ref="S4:U4"/>
    <mergeCell ref="S5:U5"/>
    <mergeCell ref="B48:I48"/>
    <mergeCell ref="B40:I40"/>
    <mergeCell ref="B41:I41"/>
    <mergeCell ref="B51:I51"/>
    <mergeCell ref="O35:Q35"/>
    <mergeCell ref="U45:U46"/>
    <mergeCell ref="R35:T35"/>
    <mergeCell ref="A44:U44"/>
    <mergeCell ref="J45:J46"/>
    <mergeCell ref="A45:A46"/>
    <mergeCell ref="A35:A36"/>
    <mergeCell ref="B45:I46"/>
    <mergeCell ref="A12:L12"/>
    <mergeCell ref="N15:U15"/>
    <mergeCell ref="S6:U6"/>
    <mergeCell ref="A15:L15"/>
    <mergeCell ref="J35:J36"/>
    <mergeCell ref="A34:U34"/>
    <mergeCell ref="A20:L23"/>
    <mergeCell ref="N21:U23"/>
    <mergeCell ref="I26:L26"/>
    <mergeCell ref="B26:C26"/>
    <mergeCell ref="H26:H27"/>
    <mergeCell ref="A25:G25"/>
    <mergeCell ref="N25:U28"/>
    <mergeCell ref="R87:T87"/>
    <mergeCell ref="O104:Q104"/>
    <mergeCell ref="R103:U104"/>
    <mergeCell ref="A102:I102"/>
    <mergeCell ref="A103:J104"/>
    <mergeCell ref="B91:I91"/>
    <mergeCell ref="U87:U88"/>
    <mergeCell ref="B87:I88"/>
    <mergeCell ref="A1:L1"/>
    <mergeCell ref="A3:L3"/>
    <mergeCell ref="N19:U19"/>
    <mergeCell ref="N1:U1"/>
    <mergeCell ref="N14:U14"/>
    <mergeCell ref="A4:L5"/>
    <mergeCell ref="A32:U32"/>
    <mergeCell ref="A19:L19"/>
    <mergeCell ref="A17:L17"/>
    <mergeCell ref="N3:O3"/>
    <mergeCell ref="N5:O5"/>
    <mergeCell ref="D26:F26"/>
    <mergeCell ref="A18:L18"/>
    <mergeCell ref="O45:Q45"/>
    <mergeCell ref="R45:T45"/>
    <mergeCell ref="U35:U36"/>
    <mergeCell ref="R125:T125"/>
    <mergeCell ref="B135:I135"/>
    <mergeCell ref="B136:I136"/>
    <mergeCell ref="B132:I132"/>
    <mergeCell ref="A133:U133"/>
    <mergeCell ref="B134:I134"/>
    <mergeCell ref="B129:I129"/>
    <mergeCell ref="B118:I118"/>
    <mergeCell ref="B130:I130"/>
    <mergeCell ref="B131:I131"/>
    <mergeCell ref="A124:U124"/>
    <mergeCell ref="A127:U127"/>
    <mergeCell ref="B128:I128"/>
    <mergeCell ref="A125:A126"/>
    <mergeCell ref="B125:I126"/>
    <mergeCell ref="J125:J126"/>
    <mergeCell ref="U125:U126"/>
    <mergeCell ref="O125:Q125"/>
    <mergeCell ref="B119:I119"/>
    <mergeCell ref="A121:J122"/>
    <mergeCell ref="R121:U122"/>
    <mergeCell ref="O122:Q122"/>
    <mergeCell ref="A120:I120"/>
    <mergeCell ref="A156:U156"/>
    <mergeCell ref="B157:I157"/>
    <mergeCell ref="B158:I158"/>
    <mergeCell ref="B161:I161"/>
    <mergeCell ref="B159:I159"/>
    <mergeCell ref="B160:I160"/>
    <mergeCell ref="A162:I162"/>
    <mergeCell ref="O164:Q164"/>
    <mergeCell ref="B137:I137"/>
    <mergeCell ref="A138:I138"/>
    <mergeCell ref="A139:J140"/>
    <mergeCell ref="A154:A155"/>
    <mergeCell ref="A153:U153"/>
    <mergeCell ref="J154:J155"/>
    <mergeCell ref="O154:Q154"/>
    <mergeCell ref="R139:U140"/>
    <mergeCell ref="O140:Q140"/>
    <mergeCell ref="B154:I155"/>
    <mergeCell ref="R154:T154"/>
    <mergeCell ref="U154:U155"/>
    <mergeCell ref="A163:J164"/>
    <mergeCell ref="R163:U164"/>
    <mergeCell ref="O172:P172"/>
    <mergeCell ref="Q172:R172"/>
    <mergeCell ref="T172:U172"/>
    <mergeCell ref="B173:G173"/>
    <mergeCell ref="H173:I173"/>
    <mergeCell ref="J173:L173"/>
    <mergeCell ref="M173:N173"/>
    <mergeCell ref="O173:P173"/>
    <mergeCell ref="Q173:R173"/>
    <mergeCell ref="T173:U173"/>
    <mergeCell ref="B172:G172"/>
    <mergeCell ref="H172:I172"/>
    <mergeCell ref="J172:L172"/>
    <mergeCell ref="M172:N172"/>
    <mergeCell ref="M171:N171"/>
    <mergeCell ref="O171:P171"/>
    <mergeCell ref="S170:U170"/>
    <mergeCell ref="J171:L171"/>
    <mergeCell ref="H170:I171"/>
    <mergeCell ref="J170:P170"/>
    <mergeCell ref="T171:U171"/>
    <mergeCell ref="M174:N174"/>
    <mergeCell ref="O174:P174"/>
    <mergeCell ref="Q174:R174"/>
    <mergeCell ref="Q170:R171"/>
    <mergeCell ref="Q202:T203"/>
    <mergeCell ref="K203:M203"/>
    <mergeCell ref="N203:P203"/>
    <mergeCell ref="B192:I192"/>
    <mergeCell ref="A174:G174"/>
    <mergeCell ref="H174:I174"/>
    <mergeCell ref="J174:L174"/>
    <mergeCell ref="T188:T189"/>
    <mergeCell ref="B191:I191"/>
    <mergeCell ref="T174:U174"/>
    <mergeCell ref="B195:I195"/>
    <mergeCell ref="B198:I198"/>
    <mergeCell ref="A188:A189"/>
    <mergeCell ref="B188:I189"/>
    <mergeCell ref="J188:J189"/>
    <mergeCell ref="K188:M188"/>
    <mergeCell ref="N188:P188"/>
    <mergeCell ref="Q188:S188"/>
    <mergeCell ref="B200:I200"/>
    <mergeCell ref="A201:I201"/>
    <mergeCell ref="B194:I194"/>
    <mergeCell ref="B197:I197"/>
    <mergeCell ref="A185:U185"/>
    <mergeCell ref="A205:T205"/>
    <mergeCell ref="A206:T206"/>
    <mergeCell ref="A207:T207"/>
    <mergeCell ref="K35:N35"/>
    <mergeCell ref="K45:N45"/>
    <mergeCell ref="K59:N59"/>
    <mergeCell ref="K71:N71"/>
    <mergeCell ref="K87:N87"/>
    <mergeCell ref="K109:N109"/>
    <mergeCell ref="K125:N125"/>
    <mergeCell ref="K154:N154"/>
    <mergeCell ref="A187:T187"/>
    <mergeCell ref="A190:T190"/>
    <mergeCell ref="A193:T193"/>
    <mergeCell ref="A196:T196"/>
    <mergeCell ref="A199:T199"/>
    <mergeCell ref="K104:N104"/>
    <mergeCell ref="K122:N122"/>
    <mergeCell ref="K140:N140"/>
    <mergeCell ref="K164:N164"/>
    <mergeCell ref="A202:J203"/>
    <mergeCell ref="A169:B169"/>
    <mergeCell ref="A170:A171"/>
    <mergeCell ref="B170:G171"/>
  </mergeCells>
  <phoneticPr fontId="6" type="noConversion"/>
  <dataValidations count="7">
    <dataValidation type="list" allowBlank="1" showInputMessage="1" showErrorMessage="1" sqref="S73:S75 S197:S198 S191:S192 S200 S194:S195 S61:S65 S47:S51 S37:S41 S99:S101 S95:S97 S90:S93">
      <formula1>$S$36</formula1>
    </dataValidation>
    <dataValidation type="list" allowBlank="1" showInputMessage="1" showErrorMessage="1" sqref="R73:R75 R197:R198 R191:R192 R200 R194:R195 R61:R65 R47:R51 R37:R41 R99:R101 R95:R97 R90:R93">
      <formula1>$R$36</formula1>
    </dataValidation>
    <dataValidation type="list" allowBlank="1" showInputMessage="1" showErrorMessage="1" sqref="T73:T75 T61:T65 T47:T51 T37:T41 T99:T101 T95:T97 T90:T93">
      <formula1>$T$36</formula1>
    </dataValidation>
    <dataValidation type="list" allowBlank="1" showInputMessage="1" showErrorMessage="1" sqref="U134:U136 U157:U160 U128:U131 U112:U118 U99:U101 U95:U97 U90:U93 U73:U75 U61:U65 U47:U51 U37:U41">
      <formula1>$P$33:$T$33</formula1>
    </dataValidation>
    <dataValidation type="list" allowBlank="1" showInputMessage="1" showErrorMessage="1" sqref="U161 U119">
      <formula1>$Q$33:$T$33</formula1>
    </dataValidation>
    <dataValidation type="list" allowBlank="1" showInputMessage="1" showErrorMessage="1" sqref="B112:I118 B157:I160 B128:I131 B134:I134 B136:I136">
      <formula1>$B$35:$B$106</formula1>
    </dataValidation>
    <dataValidation type="list" allowBlank="1" showInputMessage="1" showErrorMessage="1" sqref="Q194:Q195 Q197:Q198 Q191:Q192 Q200">
      <formula1>$Q$36</formula1>
    </dataValidation>
  </dataValidations>
  <pageMargins left="0.45" right="0.45" top="0.75" bottom="0.75" header="0.3" footer="0.3"/>
  <pageSetup paperSize="9" orientation="landscape" r:id="rId1"/>
  <headerFooter>
    <oddHeader>&amp;C
&amp;R&amp;P</oddHeader>
    <oddFooter>&amp;LRECTOR,
Acad.Prof.univ.dr. Ioan Aurel POP&amp;CDECAN,
Prof.univ.dr. Adrian-Olimpiu PETRUȘEL&amp;R                                           DIRECTOR DE DEPARTAMENT,
Prof.univ.dr. Anca ANDREICA</oddFooter>
  </headerFooter>
  <rowBreaks count="1" manualBreakCount="1">
    <brk id="122" max="16383" man="1"/>
  </rowBreaks>
  <ignoredErrors>
    <ignoredError sqref="R42" formula="1"/>
  </ignoredErrors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6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6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8CD848C23F374E82F1C501FC5202DB" ma:contentTypeVersion="0" ma:contentTypeDescription="Create a new document." ma:contentTypeScope="" ma:versionID="cd50e582d94784a96fe3f6a5afb63be3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54E7A1D-D733-4215-B5BA-4564572BE7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6E73D1-1D2F-4165-AE3C-0DA4687C7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A47E3DA-5698-49A4-92EA-B6C4521E51D0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Liliana Pop</cp:lastModifiedBy>
  <cp:lastPrinted>2020-03-30T07:17:07Z</cp:lastPrinted>
  <dcterms:created xsi:type="dcterms:W3CDTF">2013-06-27T08:19:59Z</dcterms:created>
  <dcterms:modified xsi:type="dcterms:W3CDTF">2020-04-14T06:57:59Z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0x010100FB8CD848C23F374E82F1C501FC5202DB</vt:lpwstr>
  </property>
</Properties>
</file>