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04D39C8E-2368-4CF0-BDED-1502BE5A7E3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8" i="1" l="1"/>
  <c r="Y3" i="1"/>
  <c r="S96" i="1" l="1"/>
  <c r="R96" i="1"/>
  <c r="Q96" i="1"/>
  <c r="N95" i="1"/>
  <c r="K97" i="1"/>
  <c r="L97" i="1"/>
  <c r="M96" i="1"/>
  <c r="M97" i="1"/>
  <c r="L96" i="1"/>
  <c r="K96" i="1"/>
  <c r="J96" i="1"/>
  <c r="P95" i="1"/>
  <c r="O95" i="1" s="1"/>
  <c r="A118" i="1" l="1"/>
  <c r="J118" i="1"/>
  <c r="K118" i="1"/>
  <c r="L118" i="1"/>
  <c r="M118" i="1"/>
  <c r="N118" i="1"/>
  <c r="O118" i="1"/>
  <c r="P118" i="1"/>
  <c r="Q118" i="1"/>
  <c r="R118" i="1"/>
  <c r="S118" i="1"/>
  <c r="N41" i="1"/>
  <c r="N42" i="1"/>
  <c r="N43" i="1"/>
  <c r="N44" i="1"/>
  <c r="N40" i="1"/>
  <c r="U6" i="1" l="1"/>
  <c r="U5" i="1"/>
  <c r="U4" i="1"/>
  <c r="U3" i="1"/>
  <c r="P93" i="1" l="1"/>
  <c r="P92" i="1"/>
  <c r="P91" i="1"/>
  <c r="P70" i="1"/>
  <c r="T73" i="1" l="1"/>
  <c r="N70" i="1" l="1"/>
  <c r="O70" i="1" s="1"/>
  <c r="T65" i="1" l="1"/>
  <c r="T55" i="1" l="1"/>
  <c r="T45" i="1"/>
  <c r="M193" i="1" l="1"/>
  <c r="L193" i="1"/>
  <c r="K193" i="1"/>
  <c r="S192" i="1"/>
  <c r="R192" i="1"/>
  <c r="Q192" i="1"/>
  <c r="M192" i="1"/>
  <c r="L192" i="1"/>
  <c r="K192" i="1"/>
  <c r="J192" i="1"/>
  <c r="P188" i="1"/>
  <c r="N188" i="1"/>
  <c r="P182" i="1"/>
  <c r="N182" i="1"/>
  <c r="P186" i="1"/>
  <c r="N186" i="1"/>
  <c r="P189" i="1"/>
  <c r="N189" i="1"/>
  <c r="P185" i="1"/>
  <c r="N185" i="1"/>
  <c r="P183" i="1"/>
  <c r="N183" i="1"/>
  <c r="O186" i="1" l="1"/>
  <c r="N192" i="1"/>
  <c r="P192" i="1"/>
  <c r="N193" i="1"/>
  <c r="P193" i="1"/>
  <c r="K194" i="1"/>
  <c r="O188" i="1"/>
  <c r="O182" i="1"/>
  <c r="O189" i="1"/>
  <c r="O183" i="1"/>
  <c r="O185" i="1"/>
  <c r="O193" i="1" l="1"/>
  <c r="N194" i="1" s="1"/>
  <c r="O192" i="1"/>
  <c r="U29" i="1" l="1"/>
  <c r="U28" i="1"/>
  <c r="N93" i="1" l="1"/>
  <c r="N92" i="1"/>
  <c r="P89" i="1"/>
  <c r="N89" i="1"/>
  <c r="P88" i="1"/>
  <c r="N88" i="1"/>
  <c r="P85" i="1"/>
  <c r="N85" i="1"/>
  <c r="P84" i="1"/>
  <c r="N84" i="1"/>
  <c r="P72" i="1"/>
  <c r="P71" i="1"/>
  <c r="O84" i="1" l="1"/>
  <c r="O85" i="1"/>
  <c r="O88" i="1"/>
  <c r="O89" i="1"/>
  <c r="O92" i="1"/>
  <c r="O93" i="1"/>
  <c r="S158" i="1"/>
  <c r="R158" i="1"/>
  <c r="Q158" i="1"/>
  <c r="P158" i="1"/>
  <c r="O158" i="1"/>
  <c r="N158" i="1"/>
  <c r="M158" i="1"/>
  <c r="L158" i="1"/>
  <c r="K158" i="1"/>
  <c r="J158" i="1"/>
  <c r="A158" i="1"/>
  <c r="S155" i="1"/>
  <c r="R155" i="1"/>
  <c r="Q155" i="1"/>
  <c r="M155" i="1"/>
  <c r="L155" i="1"/>
  <c r="K155" i="1"/>
  <c r="J155" i="1"/>
  <c r="A155" i="1"/>
  <c r="S154" i="1"/>
  <c r="R154" i="1"/>
  <c r="Q154" i="1"/>
  <c r="M154" i="1"/>
  <c r="L154" i="1"/>
  <c r="K154" i="1"/>
  <c r="J154" i="1"/>
  <c r="A154" i="1"/>
  <c r="S153" i="1"/>
  <c r="R153" i="1"/>
  <c r="Q153" i="1"/>
  <c r="N153" i="1"/>
  <c r="M153" i="1"/>
  <c r="L153" i="1"/>
  <c r="K153" i="1"/>
  <c r="J153" i="1"/>
  <c r="A153" i="1"/>
  <c r="S152" i="1"/>
  <c r="R152" i="1"/>
  <c r="Q152" i="1"/>
  <c r="M152" i="1"/>
  <c r="L152" i="1"/>
  <c r="K152" i="1"/>
  <c r="J152" i="1"/>
  <c r="A152" i="1"/>
  <c r="S139" i="1"/>
  <c r="R139" i="1"/>
  <c r="Q139" i="1"/>
  <c r="P139" i="1"/>
  <c r="M139" i="1"/>
  <c r="L139" i="1"/>
  <c r="K139" i="1"/>
  <c r="J139" i="1"/>
  <c r="A139" i="1"/>
  <c r="S138" i="1"/>
  <c r="R138" i="1"/>
  <c r="Q138" i="1"/>
  <c r="P138" i="1"/>
  <c r="M138" i="1"/>
  <c r="L138" i="1"/>
  <c r="K138" i="1"/>
  <c r="J138" i="1"/>
  <c r="A138" i="1"/>
  <c r="S137" i="1"/>
  <c r="R137" i="1"/>
  <c r="Q137" i="1"/>
  <c r="M137" i="1"/>
  <c r="L137" i="1"/>
  <c r="K137" i="1"/>
  <c r="J137" i="1"/>
  <c r="A137" i="1"/>
  <c r="S134" i="1"/>
  <c r="R134" i="1"/>
  <c r="Q134" i="1"/>
  <c r="M134" i="1"/>
  <c r="L134" i="1"/>
  <c r="K134" i="1"/>
  <c r="J134" i="1"/>
  <c r="A134" i="1"/>
  <c r="S133" i="1"/>
  <c r="R133" i="1"/>
  <c r="Q133" i="1"/>
  <c r="M133" i="1"/>
  <c r="L133" i="1"/>
  <c r="K133" i="1"/>
  <c r="J133" i="1"/>
  <c r="A133" i="1"/>
  <c r="S132" i="1"/>
  <c r="R132" i="1"/>
  <c r="Q132" i="1"/>
  <c r="M132" i="1"/>
  <c r="L132" i="1"/>
  <c r="K132" i="1"/>
  <c r="J132" i="1"/>
  <c r="A132" i="1"/>
  <c r="S131" i="1"/>
  <c r="R131" i="1"/>
  <c r="Q131" i="1"/>
  <c r="M131" i="1"/>
  <c r="L131" i="1"/>
  <c r="K131" i="1"/>
  <c r="J131" i="1"/>
  <c r="A131" i="1"/>
  <c r="Q110" i="1" l="1"/>
  <c r="R109" i="1"/>
  <c r="S109" i="1"/>
  <c r="S115" i="1" l="1"/>
  <c r="R115" i="1"/>
  <c r="Q115" i="1"/>
  <c r="M115" i="1"/>
  <c r="L115" i="1"/>
  <c r="K115" i="1"/>
  <c r="J115" i="1"/>
  <c r="A115" i="1"/>
  <c r="S114" i="1"/>
  <c r="R114" i="1"/>
  <c r="Q114" i="1"/>
  <c r="M114" i="1"/>
  <c r="L114" i="1"/>
  <c r="K114" i="1"/>
  <c r="J114" i="1"/>
  <c r="A114" i="1"/>
  <c r="S113" i="1"/>
  <c r="R113" i="1"/>
  <c r="Q113" i="1"/>
  <c r="M113" i="1"/>
  <c r="L113" i="1"/>
  <c r="K113" i="1"/>
  <c r="J113" i="1"/>
  <c r="A113" i="1"/>
  <c r="S112" i="1"/>
  <c r="R112" i="1"/>
  <c r="Q112" i="1"/>
  <c r="M112" i="1"/>
  <c r="L112" i="1"/>
  <c r="K112" i="1"/>
  <c r="J112" i="1"/>
  <c r="A112" i="1"/>
  <c r="A111" i="1" l="1"/>
  <c r="A110" i="1"/>
  <c r="S111" i="1"/>
  <c r="R111" i="1"/>
  <c r="Q111" i="1"/>
  <c r="N111" i="1"/>
  <c r="M111" i="1"/>
  <c r="L111" i="1"/>
  <c r="K111" i="1"/>
  <c r="J111" i="1"/>
  <c r="S110" i="1"/>
  <c r="R110" i="1"/>
  <c r="M110" i="1"/>
  <c r="L110" i="1"/>
  <c r="K110" i="1"/>
  <c r="J110" i="1"/>
  <c r="Q109" i="1"/>
  <c r="M109" i="1"/>
  <c r="L109" i="1"/>
  <c r="K109" i="1"/>
  <c r="J109" i="1"/>
  <c r="A109" i="1"/>
  <c r="P43" i="1" l="1"/>
  <c r="P153" i="1" s="1"/>
  <c r="S159" i="1"/>
  <c r="R159" i="1"/>
  <c r="Q159" i="1"/>
  <c r="M159" i="1"/>
  <c r="L159" i="1"/>
  <c r="K159" i="1"/>
  <c r="J159" i="1"/>
  <c r="S156" i="1"/>
  <c r="R156" i="1"/>
  <c r="Q156" i="1"/>
  <c r="M156" i="1"/>
  <c r="L156" i="1"/>
  <c r="K156" i="1"/>
  <c r="J156" i="1"/>
  <c r="S140" i="1"/>
  <c r="R140" i="1"/>
  <c r="Q140" i="1"/>
  <c r="M140" i="1"/>
  <c r="L140" i="1"/>
  <c r="K140" i="1"/>
  <c r="J140" i="1"/>
  <c r="S135" i="1"/>
  <c r="R135" i="1"/>
  <c r="Q135" i="1"/>
  <c r="M135" i="1"/>
  <c r="L135" i="1"/>
  <c r="K135" i="1"/>
  <c r="J135" i="1"/>
  <c r="S119" i="1"/>
  <c r="R119" i="1"/>
  <c r="Q119" i="1"/>
  <c r="M119" i="1"/>
  <c r="L119" i="1"/>
  <c r="K119" i="1"/>
  <c r="J119" i="1"/>
  <c r="P87" i="1"/>
  <c r="N82" i="1"/>
  <c r="N83" i="1"/>
  <c r="P54" i="1"/>
  <c r="P132" i="1" s="1"/>
  <c r="N54" i="1"/>
  <c r="N132" i="1" s="1"/>
  <c r="N91" i="1"/>
  <c r="N87" i="1"/>
  <c r="P83" i="1"/>
  <c r="P82" i="1"/>
  <c r="S73" i="1"/>
  <c r="R73" i="1"/>
  <c r="Q73" i="1"/>
  <c r="M73" i="1"/>
  <c r="L73" i="1"/>
  <c r="K73" i="1"/>
  <c r="J73" i="1"/>
  <c r="N72" i="1"/>
  <c r="N139" i="1" s="1"/>
  <c r="N71" i="1"/>
  <c r="N138" i="1" s="1"/>
  <c r="S65" i="1"/>
  <c r="R65" i="1"/>
  <c r="Q65" i="1"/>
  <c r="M65" i="1"/>
  <c r="L65" i="1"/>
  <c r="K65" i="1"/>
  <c r="J65" i="1"/>
  <c r="P64" i="1"/>
  <c r="P134" i="1" s="1"/>
  <c r="N64" i="1"/>
  <c r="N134" i="1" s="1"/>
  <c r="P63" i="1"/>
  <c r="P155" i="1" s="1"/>
  <c r="N63" i="1"/>
  <c r="N155" i="1" s="1"/>
  <c r="P62" i="1"/>
  <c r="P133" i="1" s="1"/>
  <c r="N62" i="1"/>
  <c r="N133" i="1" s="1"/>
  <c r="P61" i="1"/>
  <c r="P115" i="1" s="1"/>
  <c r="N61" i="1"/>
  <c r="N115" i="1" s="1"/>
  <c r="P60" i="1"/>
  <c r="N60" i="1"/>
  <c r="N114" i="1" s="1"/>
  <c r="S55" i="1"/>
  <c r="R55" i="1"/>
  <c r="Q55" i="1"/>
  <c r="M55" i="1"/>
  <c r="L55" i="1"/>
  <c r="K55" i="1"/>
  <c r="J55" i="1"/>
  <c r="P53" i="1"/>
  <c r="P154" i="1" s="1"/>
  <c r="N53" i="1"/>
  <c r="N154" i="1" s="1"/>
  <c r="P52" i="1"/>
  <c r="N52" i="1"/>
  <c r="P51" i="1"/>
  <c r="P113" i="1" s="1"/>
  <c r="N51" i="1"/>
  <c r="N113" i="1" s="1"/>
  <c r="P50" i="1"/>
  <c r="N50" i="1"/>
  <c r="K45" i="1"/>
  <c r="P44" i="1"/>
  <c r="P111" i="1" s="1"/>
  <c r="P42" i="1"/>
  <c r="P41" i="1"/>
  <c r="S45" i="1"/>
  <c r="R45" i="1"/>
  <c r="Q45" i="1"/>
  <c r="P40" i="1"/>
  <c r="O40" i="1" s="1"/>
  <c r="M45" i="1"/>
  <c r="L45" i="1"/>
  <c r="J45" i="1"/>
  <c r="N97" i="1" l="1"/>
  <c r="N96" i="1"/>
  <c r="P96" i="1"/>
  <c r="P97" i="1"/>
  <c r="P152" i="1"/>
  <c r="P112" i="1"/>
  <c r="N152" i="1"/>
  <c r="N156" i="1" s="1"/>
  <c r="N112" i="1"/>
  <c r="P114" i="1"/>
  <c r="J173" i="1"/>
  <c r="O82" i="1"/>
  <c r="U73" i="1"/>
  <c r="U55" i="1"/>
  <c r="R172" i="1"/>
  <c r="R174" i="1" s="1"/>
  <c r="U45" i="1"/>
  <c r="N65" i="1"/>
  <c r="S172" i="1"/>
  <c r="S174" i="1" s="1"/>
  <c r="U65" i="1"/>
  <c r="O83" i="1"/>
  <c r="S141" i="1"/>
  <c r="P65" i="1"/>
  <c r="O51" i="1"/>
  <c r="O113" i="1" s="1"/>
  <c r="O52" i="1"/>
  <c r="O53" i="1"/>
  <c r="O154" i="1" s="1"/>
  <c r="O62" i="1"/>
  <c r="O133" i="1" s="1"/>
  <c r="O63" i="1"/>
  <c r="O155" i="1" s="1"/>
  <c r="O87" i="1"/>
  <c r="M141" i="1"/>
  <c r="L160" i="1"/>
  <c r="J141" i="1"/>
  <c r="L141" i="1"/>
  <c r="Q141" i="1"/>
  <c r="K142" i="1"/>
  <c r="M142" i="1"/>
  <c r="R141" i="1"/>
  <c r="M161" i="1"/>
  <c r="R160" i="1"/>
  <c r="N159" i="1"/>
  <c r="N137" i="1"/>
  <c r="N140" i="1" s="1"/>
  <c r="N131" i="1"/>
  <c r="N119" i="1"/>
  <c r="N109" i="1"/>
  <c r="P55" i="1"/>
  <c r="P110" i="1"/>
  <c r="O71" i="1"/>
  <c r="O138" i="1" s="1"/>
  <c r="O91" i="1"/>
  <c r="P159" i="1"/>
  <c r="P137" i="1"/>
  <c r="P140" i="1" s="1"/>
  <c r="P131" i="1"/>
  <c r="P119" i="1"/>
  <c r="P109" i="1"/>
  <c r="N110" i="1"/>
  <c r="L142" i="1"/>
  <c r="O43" i="1"/>
  <c r="O153" i="1" s="1"/>
  <c r="N45" i="1"/>
  <c r="J160" i="1"/>
  <c r="L161" i="1"/>
  <c r="Q160" i="1"/>
  <c r="S160" i="1"/>
  <c r="M116" i="1"/>
  <c r="M120" i="1" s="1"/>
  <c r="K116" i="1"/>
  <c r="K120" i="1" s="1"/>
  <c r="R116" i="1"/>
  <c r="R120" i="1" s="1"/>
  <c r="L116" i="1"/>
  <c r="L120" i="1" s="1"/>
  <c r="Q116" i="1"/>
  <c r="Q120" i="1" s="1"/>
  <c r="S116" i="1"/>
  <c r="S120" i="1" s="1"/>
  <c r="O60" i="1"/>
  <c r="J116" i="1"/>
  <c r="J120" i="1" s="1"/>
  <c r="O42" i="1"/>
  <c r="N73" i="1"/>
  <c r="P45" i="1"/>
  <c r="O44" i="1"/>
  <c r="O111" i="1" s="1"/>
  <c r="O50" i="1"/>
  <c r="O41" i="1"/>
  <c r="N55" i="1"/>
  <c r="O61" i="1"/>
  <c r="O115" i="1" s="1"/>
  <c r="O64" i="1"/>
  <c r="O134" i="1" s="1"/>
  <c r="O72" i="1"/>
  <c r="O139" i="1" s="1"/>
  <c r="O54" i="1"/>
  <c r="O132" i="1" s="1"/>
  <c r="K98" i="1"/>
  <c r="P73" i="1"/>
  <c r="K141" i="1"/>
  <c r="M160" i="1"/>
  <c r="K161" i="1"/>
  <c r="K160" i="1"/>
  <c r="O96" i="1" l="1"/>
  <c r="O97" i="1"/>
  <c r="P156" i="1"/>
  <c r="P160" i="1" s="1"/>
  <c r="O114" i="1"/>
  <c r="O152" i="1"/>
  <c r="O112" i="1"/>
  <c r="J172" i="1"/>
  <c r="H173" i="1"/>
  <c r="P135" i="1"/>
  <c r="K162" i="1"/>
  <c r="K143" i="1"/>
  <c r="P116" i="1"/>
  <c r="P121" i="1" s="1"/>
  <c r="K121" i="1"/>
  <c r="O110" i="1"/>
  <c r="O131" i="1"/>
  <c r="O159" i="1"/>
  <c r="O137" i="1"/>
  <c r="O140" i="1" s="1"/>
  <c r="O119" i="1"/>
  <c r="O109" i="1"/>
  <c r="N160" i="1"/>
  <c r="N161" i="1"/>
  <c r="N135" i="1"/>
  <c r="N116" i="1"/>
  <c r="N120" i="1" s="1"/>
  <c r="M121" i="1"/>
  <c r="L121" i="1"/>
  <c r="O55" i="1"/>
  <c r="O45" i="1"/>
  <c r="O73" i="1"/>
  <c r="O65" i="1"/>
  <c r="P161" i="1" l="1"/>
  <c r="O156" i="1"/>
  <c r="O160" i="1" s="1"/>
  <c r="N98" i="1"/>
  <c r="L173" i="1"/>
  <c r="L172" i="1" s="1"/>
  <c r="L174" i="1" s="1"/>
  <c r="P120" i="1"/>
  <c r="H172" i="1"/>
  <c r="J174" i="1"/>
  <c r="O135" i="1"/>
  <c r="O141" i="1" s="1"/>
  <c r="P142" i="1"/>
  <c r="P141" i="1"/>
  <c r="K122" i="1"/>
  <c r="O116" i="1"/>
  <c r="O121" i="1" s="1"/>
  <c r="N142" i="1"/>
  <c r="N141" i="1"/>
  <c r="N121" i="1"/>
  <c r="O161" i="1" l="1"/>
  <c r="N162" i="1" s="1"/>
  <c r="N173" i="1"/>
  <c r="U171" i="1" s="1"/>
  <c r="N122" i="1"/>
  <c r="N172" i="1"/>
  <c r="H174" i="1"/>
  <c r="P173" i="1" s="1"/>
  <c r="O120" i="1"/>
  <c r="O142" i="1"/>
  <c r="N143" i="1" s="1"/>
  <c r="N174" i="1" l="1"/>
  <c r="P172" i="1"/>
  <c r="P174" i="1" s="1"/>
</calcChain>
</file>

<file path=xl/sharedStrings.xml><?xml version="1.0" encoding="utf-8"?>
<sst xmlns="http://schemas.openxmlformats.org/spreadsheetml/2006/main" count="438" uniqueCount="177">
  <si>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</si>
  <si>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</si>
  <si>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</si>
  <si>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</si>
  <si>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</si>
  <si>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</si>
  <si>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</si>
  <si>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</si>
  <si>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</si>
  <si>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</si>
  <si>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</si>
  <si>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</si>
  <si>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</si>
  <si>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</si>
  <si>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</si>
  <si>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</si>
  <si>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</si>
  <si>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</si>
  <si>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</si>
  <si>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</si>
  <si>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</si>
  <si>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</si>
  <si>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</si>
  <si>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</si>
  <si>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</si>
  <si>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</si>
  <si>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</si>
  <si>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</si>
  <si>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</si>
  <si>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</si>
  <si>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</si>
  <si>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</si>
  <si>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</si>
  <si>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</si>
  <si>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</si>
  <si>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</si>
  <si>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</si>
  <si>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</si>
  <si>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</si>
  <si>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</si>
  <si>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</si>
  <si>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</si>
  <si>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</si>
  <si>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</si>
  <si>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</si>
  <si>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</si>
  <si>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</si>
  <si>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</si>
  <si>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</si>
  <si>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</si>
  <si>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</si>
  <si>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</si>
  <si>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</si>
  <si>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</si>
  <si>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</si>
  <si>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</si>
  <si>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</si>
  <si>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</si>
  <si>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</si>
  <si>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</si>
  <si>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</si>
  <si>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</si>
  <si>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</si>
  <si>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</si>
  <si>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</si>
  <si>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</si>
  <si>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</si>
  <si>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</si>
  <si>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</si>
  <si>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</si>
  <si>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</si>
  <si>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</si>
  <si>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</si>
  <si>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</si>
  <si>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</si>
  <si>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</si>
  <si>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</si>
  <si>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</si>
  <si>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</si>
  <si>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</si>
  <si>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</si>
  <si>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</si>
  <si>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</si>
  <si>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</si>
  <si>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</si>
  <si>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</si>
  <si>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</si>
  <si>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</si>
  <si>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</si>
  <si>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</si>
  <si>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</si>
  <si>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</si>
  <si>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</si>
  <si>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</si>
  <si>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</si>
  <si>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</si>
  <si>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</si>
  <si>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Titlul absolventului: MASTER</t>
  </si>
  <si>
    <t>DA</t>
  </si>
  <si>
    <t>DSIN</t>
  </si>
  <si>
    <t>DISCIPLINE DE SPECIALITATE  (DS)</t>
  </si>
  <si>
    <t>În contul a cel mult 3 discipline opţionale generale, studentul are dreptul să aleagă 3 discipline de la alte specializări ale facultăţilor din Universitatea „Babeş-Bolyai”, respectând condiționările din planurile de învățământ ale respectivelor specializări.</t>
  </si>
  <si>
    <t xml:space="preserve">FACULTATEA DE MATEMATICĂ ŞI  INFORMATICĂ </t>
  </si>
  <si>
    <t>Domeniul: Informatică</t>
  </si>
  <si>
    <t>Specializarea/Programul de studiu: Sisteme informatice avansate: Modelare, proiectare, dezvoltare</t>
  </si>
  <si>
    <t>Limba de predare: Germană şi Engleză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</si>
  <si>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</si>
  <si>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 21</t>
    </r>
    <r>
      <rPr>
        <sz val="10"/>
        <color indexed="8"/>
        <rFont val="Times New Roman"/>
        <family val="1"/>
      </rPr>
      <t xml:space="preserve"> de credite la disciplinele opţionale;</t>
    </r>
  </si>
  <si>
    <t>(*)</t>
  </si>
  <si>
    <t>(*) Disciplina "Practică în specialitate" este planificată a se desfăşura în semestrul 4 şi are 20 de credite.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</si>
  <si>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Duisburg, Univ. Műnster, Carnegie Mellon, University of California
Planul reflectă recomandările Association of Computing Machinery şi IEEE Computer Society</t>
    </r>
  </si>
  <si>
    <t>MMG9001</t>
  </si>
  <si>
    <t>Metodologia cercetării ştiinţifice de informatică</t>
  </si>
  <si>
    <t>MMG8143</t>
  </si>
  <si>
    <t>MMG8153</t>
  </si>
  <si>
    <t>MMG9016</t>
  </si>
  <si>
    <t>MMX9701</t>
  </si>
  <si>
    <t>Sem. 1: Se alege  o disciplină din pachetul: MMX9701</t>
  </si>
  <si>
    <t>Sem. 2: Se alege  o disciplină din pachetul: MMX9702</t>
  </si>
  <si>
    <t>Sem. 3: Se alege  o disciplină din pachetul: MMX9703</t>
  </si>
  <si>
    <t>Metodologii agile de dezvoltare a aplicaţilor software</t>
  </si>
  <si>
    <t>Managementul fluxului de operaţii</t>
  </si>
  <si>
    <t>Comunicare în limba germană în industria IT 1</t>
  </si>
  <si>
    <t>Curs opţional 1</t>
  </si>
  <si>
    <t>MMG8065</t>
  </si>
  <si>
    <t>MMG8154</t>
  </si>
  <si>
    <t>MMG8155</t>
  </si>
  <si>
    <t>MMG9107</t>
  </si>
  <si>
    <t>MMX9702</t>
  </si>
  <si>
    <t>Proiectarea sistemelor software</t>
  </si>
  <si>
    <t>Instrumente de modelare</t>
  </si>
  <si>
    <t>Aspecte computaţionale ale sistemelor scalabile</t>
  </si>
  <si>
    <t>Comunicare în limba germană în industria IT 2</t>
  </si>
  <si>
    <t>Curs opţional 2</t>
  </si>
  <si>
    <t>MMG8156</t>
  </si>
  <si>
    <t>MMG8157</t>
  </si>
  <si>
    <t>MMG9105</t>
  </si>
  <si>
    <t>MMG9108</t>
  </si>
  <si>
    <t>MMX9703</t>
  </si>
  <si>
    <t>Cicluri de viaţă ale sistemelor software</t>
  </si>
  <si>
    <t>Securitatea sistemelor software</t>
  </si>
  <si>
    <t>Proiect de modelare şi dezvoltare</t>
  </si>
  <si>
    <t>Comunicare în limba germană în industria IT 3</t>
  </si>
  <si>
    <t>MMG9012</t>
  </si>
  <si>
    <t>Practică în specialitate</t>
  </si>
  <si>
    <t>MMG9104</t>
  </si>
  <si>
    <t>MMG3042</t>
  </si>
  <si>
    <t>Proiect de cercetare în Sisteme informatice avansate</t>
  </si>
  <si>
    <t>Elaborarea lucrării de disertaţie</t>
  </si>
  <si>
    <t>MME8025</t>
  </si>
  <si>
    <t>MME8042</t>
  </si>
  <si>
    <t>Ingineria cerinţelor</t>
  </si>
  <si>
    <t>Antreprenoriat în IT</t>
  </si>
  <si>
    <t>Metode avansate de analiză a datelor</t>
  </si>
  <si>
    <t>Instruire automată</t>
  </si>
  <si>
    <t>CURS OPȚIONAL 1 (An I, Semestrul 1) - (COD PACHET MMX9701)</t>
  </si>
  <si>
    <t>CURS OPȚIONAL 2 (An I, Semestrul 2)- (COD PACHET MMX9702)</t>
  </si>
  <si>
    <t>CURS OPȚIONAL 3 (An II, Semestrul 3)- (COD PACHET MMX9703)</t>
  </si>
  <si>
    <t>MME3052</t>
  </si>
  <si>
    <t>MME8110</t>
  </si>
  <si>
    <t>MME8059</t>
  </si>
  <si>
    <t>MMG8999</t>
  </si>
  <si>
    <t>MME8120</t>
  </si>
  <si>
    <t>MME8028</t>
  </si>
  <si>
    <t>Descoperirea cunoştinţelor in reţele de mare întindere</t>
  </si>
  <si>
    <t>Algoritmi, modele şi concepte în sisteme distribuite</t>
  </si>
  <si>
    <t>Vizualizarea ştiinţifică a datelor</t>
  </si>
  <si>
    <t>Introducere în SAP/ABAP</t>
  </si>
  <si>
    <t>Web design adaptativ</t>
  </si>
  <si>
    <t>Paradigme în programare</t>
  </si>
  <si>
    <t>Curs opţional 3</t>
  </si>
  <si>
    <t>CURS OPȚIONAL 4 (An II, Semestrul 4)- (COD PACHET aici)</t>
  </si>
  <si>
    <t>PLAN DE ÎNVĂŢĂMÂNT  valabil începând din anul universitar 2019-2020</t>
  </si>
  <si>
    <t>MMG8148</t>
  </si>
  <si>
    <t>MME8048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</si>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</sst>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top" wrapText="1"/>
      <protection locked="0"/>
    </xf>
    <xf numFmtId="1" fontId="1" fillId="5" borderId="5" xfId="0" applyNumberFormat="1" applyFont="1" applyFill="1" applyBorder="1" applyAlignment="1" applyProtection="1">
      <alignment horizontal="left" vertical="top"/>
      <protection locked="0"/>
    </xf>
    <xf numFmtId="1" fontId="1" fillId="5" borderId="6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/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2" fillId="6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>
      <alignment vertical="center" wrapText="1"/>
    </xf>
    <xf numFmtId="0" fontId="13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1"/>
  <sheetViews>
    <sheetView tabSelected="1" zoomScaleNormal="100" workbookViewId="0">
      <selection activeCell="A20" sqref="A20:K23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5.5546875" style="1" customWidth="1"/>
    <col min="14" max="18" width="6" style="1" customWidth="1"/>
    <col min="19" max="19" width="6.109375" style="1" customWidth="1"/>
    <col min="20" max="20" width="9.33203125" style="1" customWidth="1"/>
    <col min="21" max="26" width="9.109375" style="1"/>
    <col min="27" max="27" width="11" style="1" customWidth="1"/>
    <col min="28" max="16384" width="9.109375" style="1"/>
  </cols>
  <sheetData>
    <row r="1" spans="1:28" ht="15.75" customHeight="1" x14ac:dyDescent="0.25">
      <c r="A1" s="93" t="s">
        <v>172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M1" s="178" t="s">
        <v>19</v>
      </c>
      <c r="N1" s="178"/>
      <c r="O1" s="178"/>
      <c r="P1" s="178"/>
      <c r="Q1" s="178"/>
      <c r="R1" s="178"/>
      <c r="S1" s="178"/>
      <c r="T1" s="178"/>
    </row>
    <row r="2" spans="1:28" ht="6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8" ht="39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M3" s="184"/>
      <c r="N3" s="185"/>
      <c r="O3" s="188" t="s">
        <v>35</v>
      </c>
      <c r="P3" s="189"/>
      <c r="Q3" s="190"/>
      <c r="R3" s="188" t="s">
        <v>36</v>
      </c>
      <c r="S3" s="189"/>
      <c r="T3" s="190"/>
      <c r="U3" s="215" t="str">
        <f>IF(O4&gt;=12,"Corect","Trebuie alocate cel puțin 12 de ore pe săptămână")</f>
        <v>Corect</v>
      </c>
      <c r="V3" s="216"/>
      <c r="W3" s="216"/>
      <c r="X3" s="216"/>
      <c r="Y3" s="1">
        <f>42*14+17*12</f>
        <v>792</v>
      </c>
    </row>
    <row r="4" spans="1:28" ht="17.25" customHeight="1" x14ac:dyDescent="0.25">
      <c r="A4" s="180" t="s">
        <v>102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M4" s="186" t="s">
        <v>14</v>
      </c>
      <c r="N4" s="187"/>
      <c r="O4" s="194">
        <v>15</v>
      </c>
      <c r="P4" s="195"/>
      <c r="Q4" s="196"/>
      <c r="R4" s="194">
        <v>15</v>
      </c>
      <c r="S4" s="195"/>
      <c r="T4" s="196"/>
      <c r="U4" s="215" t="str">
        <f>IF(R4&gt;=12,"Corect","Trebuie alocate cel puțin 12 de ore pe săptămână")</f>
        <v>Corect</v>
      </c>
      <c r="V4" s="216"/>
      <c r="W4" s="216"/>
      <c r="X4" s="216"/>
    </row>
    <row r="5" spans="1:28" ht="16.5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M5" s="186" t="s">
        <v>15</v>
      </c>
      <c r="N5" s="187"/>
      <c r="O5" s="194">
        <v>12</v>
      </c>
      <c r="P5" s="195"/>
      <c r="Q5" s="196"/>
      <c r="R5" s="194">
        <v>17</v>
      </c>
      <c r="S5" s="195"/>
      <c r="T5" s="196"/>
      <c r="U5" s="215" t="str">
        <f>IF(O5&gt;=12,"Corect","Trebuie alocate cel puțin 12 de ore pe săptămână")</f>
        <v>Corect</v>
      </c>
      <c r="V5" s="216"/>
      <c r="W5" s="216"/>
      <c r="X5" s="216"/>
    </row>
    <row r="6" spans="1:28" ht="15" customHeight="1" x14ac:dyDescent="0.25">
      <c r="A6" s="193" t="s">
        <v>103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M6" s="204"/>
      <c r="N6" s="204"/>
      <c r="O6" s="197"/>
      <c r="P6" s="197"/>
      <c r="Q6" s="197"/>
      <c r="R6" s="197"/>
      <c r="S6" s="197"/>
      <c r="T6" s="197"/>
      <c r="U6" s="215" t="str">
        <f>IF(R5&gt;=12,"Corect","Trebuie alocate cel puțin 12 de ore pe săptămână")</f>
        <v>Corect</v>
      </c>
      <c r="V6" s="216"/>
      <c r="W6" s="216"/>
      <c r="X6" s="216"/>
    </row>
    <row r="7" spans="1:28" ht="24" customHeight="1" x14ac:dyDescent="0.25">
      <c r="A7" s="205" t="s">
        <v>104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28" ht="18.75" customHeight="1" x14ac:dyDescent="0.25">
      <c r="A8" s="206" t="s">
        <v>105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M8" s="207" t="s">
        <v>93</v>
      </c>
      <c r="N8" s="207"/>
      <c r="O8" s="207"/>
      <c r="P8" s="207"/>
      <c r="Q8" s="207"/>
      <c r="R8" s="207"/>
      <c r="S8" s="207"/>
      <c r="T8" s="207"/>
    </row>
    <row r="9" spans="1:28" ht="15" customHeight="1" x14ac:dyDescent="0.25">
      <c r="A9" s="183" t="s">
        <v>97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M9" s="207"/>
      <c r="N9" s="207"/>
      <c r="O9" s="207"/>
      <c r="P9" s="207"/>
      <c r="Q9" s="207"/>
      <c r="R9" s="207"/>
      <c r="S9" s="207"/>
      <c r="T9" s="207"/>
      <c r="U9" s="220" t="s">
        <v>90</v>
      </c>
      <c r="V9" s="221"/>
      <c r="W9" s="221"/>
      <c r="X9" s="222"/>
      <c r="Y9" s="222"/>
      <c r="Z9" s="222"/>
      <c r="AA9" s="51"/>
    </row>
    <row r="10" spans="1:28" ht="16.5" customHeight="1" x14ac:dyDescent="0.25">
      <c r="A10" s="183" t="s">
        <v>60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M10" s="207"/>
      <c r="N10" s="207"/>
      <c r="O10" s="207"/>
      <c r="P10" s="207"/>
      <c r="Q10" s="207"/>
      <c r="R10" s="207"/>
      <c r="S10" s="207"/>
      <c r="T10" s="207"/>
      <c r="U10" s="221"/>
      <c r="V10" s="221"/>
      <c r="W10" s="221"/>
      <c r="X10" s="222"/>
      <c r="Y10" s="222"/>
      <c r="Z10" s="222"/>
      <c r="AA10" s="51"/>
    </row>
    <row r="11" spans="1:28" x14ac:dyDescent="0.25">
      <c r="A11" s="183" t="s">
        <v>17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M11" s="207"/>
      <c r="N11" s="207"/>
      <c r="O11" s="207"/>
      <c r="P11" s="207"/>
      <c r="Q11" s="207"/>
      <c r="R11" s="207"/>
      <c r="S11" s="207"/>
      <c r="T11" s="207"/>
      <c r="U11" s="221"/>
      <c r="V11" s="221"/>
      <c r="W11" s="221"/>
      <c r="X11" s="222"/>
      <c r="Y11" s="222"/>
      <c r="Z11" s="222"/>
      <c r="AA11" s="51"/>
    </row>
    <row r="12" spans="1:28" ht="10.5" customHeight="1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M12" s="2"/>
      <c r="N12" s="2"/>
      <c r="O12" s="2"/>
      <c r="P12" s="2"/>
      <c r="Q12" s="2"/>
      <c r="R12" s="2"/>
      <c r="U12" s="221"/>
      <c r="V12" s="221"/>
      <c r="W12" s="221"/>
      <c r="X12" s="222"/>
      <c r="Y12" s="222"/>
      <c r="Z12" s="222"/>
      <c r="AA12" s="51"/>
    </row>
    <row r="13" spans="1:28" x14ac:dyDescent="0.25">
      <c r="A13" s="209" t="s">
        <v>65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M13" s="210" t="s">
        <v>20</v>
      </c>
      <c r="N13" s="210"/>
      <c r="O13" s="210"/>
      <c r="P13" s="210"/>
      <c r="Q13" s="210"/>
      <c r="R13" s="210"/>
      <c r="S13" s="210"/>
      <c r="T13" s="210"/>
      <c r="U13" s="51"/>
      <c r="V13" s="51"/>
      <c r="W13" s="51"/>
      <c r="X13" s="51"/>
      <c r="Y13" s="51"/>
      <c r="Z13" s="51"/>
      <c r="AA13" s="51"/>
    </row>
    <row r="14" spans="1:28" ht="12.75" customHeight="1" x14ac:dyDescent="0.25">
      <c r="A14" s="209" t="s">
        <v>61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M14" s="179" t="s">
        <v>117</v>
      </c>
      <c r="N14" s="179"/>
      <c r="O14" s="179"/>
      <c r="P14" s="179"/>
      <c r="Q14" s="179"/>
      <c r="R14" s="179"/>
      <c r="S14" s="179"/>
      <c r="T14" s="179"/>
      <c r="U14" s="51"/>
      <c r="V14" s="51"/>
      <c r="W14" s="51"/>
      <c r="X14" s="51"/>
      <c r="Y14" s="51"/>
      <c r="Z14" s="51"/>
      <c r="AA14" s="51"/>
    </row>
    <row r="15" spans="1:28" ht="12.75" customHeight="1" x14ac:dyDescent="0.25">
      <c r="A15" s="206" t="s">
        <v>106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M15" s="179" t="s">
        <v>118</v>
      </c>
      <c r="N15" s="179"/>
      <c r="O15" s="179"/>
      <c r="P15" s="179"/>
      <c r="Q15" s="179"/>
      <c r="R15" s="179"/>
      <c r="S15" s="179"/>
      <c r="T15" s="179"/>
      <c r="U15" s="223" t="s">
        <v>91</v>
      </c>
      <c r="V15" s="223"/>
      <c r="W15" s="223"/>
      <c r="X15" s="223"/>
      <c r="Y15" s="223"/>
      <c r="Z15" s="223"/>
      <c r="AA15" s="51"/>
    </row>
    <row r="16" spans="1:28" ht="12.75" customHeight="1" x14ac:dyDescent="0.3">
      <c r="A16" s="206" t="s">
        <v>107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M16" s="179" t="s">
        <v>119</v>
      </c>
      <c r="N16" s="179"/>
      <c r="O16" s="179"/>
      <c r="P16" s="179"/>
      <c r="Q16" s="179"/>
      <c r="R16" s="179"/>
      <c r="S16" s="179"/>
      <c r="T16" s="179"/>
      <c r="U16" s="223"/>
      <c r="V16" s="223"/>
      <c r="W16" s="223"/>
      <c r="X16" s="223"/>
      <c r="Y16" s="223"/>
      <c r="Z16" s="223"/>
      <c r="AA16" s="227"/>
      <c r="AB16" s="228"/>
    </row>
    <row r="17" spans="1:27" ht="12.75" customHeight="1" x14ac:dyDescent="0.25">
      <c r="A17" s="183" t="s">
        <v>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M17" s="177"/>
      <c r="N17" s="177"/>
      <c r="O17" s="177"/>
      <c r="P17" s="177"/>
      <c r="Q17" s="177"/>
      <c r="R17" s="177"/>
      <c r="S17" s="177"/>
      <c r="T17" s="177"/>
      <c r="U17" s="223"/>
      <c r="V17" s="223"/>
      <c r="W17" s="223"/>
      <c r="X17" s="223"/>
      <c r="Y17" s="223"/>
      <c r="Z17" s="223"/>
      <c r="AA17" s="51"/>
    </row>
    <row r="18" spans="1:27" ht="14.25" customHeight="1" x14ac:dyDescent="0.25">
      <c r="A18" s="183" t="s">
        <v>66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M18" s="177"/>
      <c r="N18" s="177"/>
      <c r="O18" s="177"/>
      <c r="P18" s="177"/>
      <c r="Q18" s="177"/>
      <c r="R18" s="177"/>
      <c r="S18" s="177"/>
      <c r="T18" s="177"/>
      <c r="U18" s="51"/>
      <c r="V18" s="51"/>
      <c r="W18" s="51"/>
      <c r="X18" s="51"/>
      <c r="Y18" s="51"/>
      <c r="Z18" s="51"/>
      <c r="AA18" s="51"/>
    </row>
    <row r="19" spans="1:27" x14ac:dyDescent="0.25">
      <c r="A19" s="183" t="s">
        <v>176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M19" s="177"/>
      <c r="N19" s="177"/>
      <c r="O19" s="177"/>
      <c r="P19" s="177"/>
      <c r="Q19" s="177"/>
      <c r="R19" s="177"/>
      <c r="S19" s="177"/>
      <c r="T19" s="177"/>
      <c r="U19" s="51"/>
      <c r="V19" s="51"/>
      <c r="W19" s="51"/>
      <c r="X19" s="51"/>
      <c r="Y19" s="51"/>
      <c r="Z19" s="51"/>
      <c r="AA19" s="51"/>
    </row>
    <row r="20" spans="1:27" ht="7.5" customHeight="1" x14ac:dyDescent="0.25">
      <c r="A20" s="235" t="s">
        <v>175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M20" s="2"/>
      <c r="N20" s="2"/>
      <c r="O20" s="2"/>
      <c r="P20" s="2"/>
      <c r="Q20" s="2"/>
      <c r="R20" s="2"/>
      <c r="U20" s="224" t="s">
        <v>92</v>
      </c>
      <c r="V20" s="225"/>
      <c r="W20" s="225"/>
      <c r="X20" s="225"/>
      <c r="Y20" s="225"/>
      <c r="Z20" s="225"/>
      <c r="AA20" s="226"/>
    </row>
    <row r="21" spans="1:27" ht="15" customHeight="1" x14ac:dyDescent="0.2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M21" s="64" t="s">
        <v>101</v>
      </c>
      <c r="N21" s="64"/>
      <c r="O21" s="64"/>
      <c r="P21" s="64"/>
      <c r="Q21" s="64"/>
      <c r="R21" s="64"/>
      <c r="S21" s="64"/>
      <c r="T21" s="64"/>
      <c r="U21" s="226"/>
      <c r="V21" s="226"/>
      <c r="W21" s="226"/>
      <c r="X21" s="226"/>
      <c r="Y21" s="226"/>
      <c r="Z21" s="226"/>
      <c r="AA21" s="226"/>
    </row>
    <row r="22" spans="1:27" ht="15" customHeight="1" x14ac:dyDescent="0.2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M22" s="64"/>
      <c r="N22" s="64"/>
      <c r="O22" s="64"/>
      <c r="P22" s="64"/>
      <c r="Q22" s="64"/>
      <c r="R22" s="64"/>
      <c r="S22" s="64"/>
      <c r="T22" s="64"/>
      <c r="U22" s="226"/>
      <c r="V22" s="226"/>
      <c r="W22" s="226"/>
      <c r="X22" s="226"/>
      <c r="Y22" s="226"/>
      <c r="Z22" s="226"/>
      <c r="AA22" s="226"/>
    </row>
    <row r="23" spans="1:27" ht="28.8" customHeight="1" x14ac:dyDescent="0.2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M23" s="64"/>
      <c r="N23" s="64"/>
      <c r="O23" s="64"/>
      <c r="P23" s="64"/>
      <c r="Q23" s="64"/>
      <c r="R23" s="64"/>
      <c r="S23" s="64"/>
      <c r="T23" s="64"/>
      <c r="U23" s="226"/>
      <c r="V23" s="226"/>
      <c r="W23" s="226"/>
      <c r="X23" s="226"/>
      <c r="Y23" s="226"/>
      <c r="Z23" s="226"/>
      <c r="AA23" s="226"/>
    </row>
    <row r="24" spans="1:27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x14ac:dyDescent="0.25">
      <c r="A25" s="149" t="s">
        <v>16</v>
      </c>
      <c r="B25" s="149"/>
      <c r="C25" s="149"/>
      <c r="D25" s="149"/>
      <c r="E25" s="149"/>
      <c r="F25" s="149"/>
      <c r="G25" s="149"/>
      <c r="M25" s="208" t="s">
        <v>110</v>
      </c>
      <c r="N25" s="208"/>
      <c r="O25" s="208"/>
      <c r="P25" s="208"/>
      <c r="Q25" s="208"/>
      <c r="R25" s="208"/>
      <c r="S25" s="208"/>
      <c r="T25" s="208"/>
    </row>
    <row r="26" spans="1:27" ht="26.25" customHeight="1" x14ac:dyDescent="0.25">
      <c r="A26" s="4"/>
      <c r="B26" s="188" t="s">
        <v>2</v>
      </c>
      <c r="C26" s="190"/>
      <c r="D26" s="188" t="s">
        <v>3</v>
      </c>
      <c r="E26" s="189"/>
      <c r="F26" s="190"/>
      <c r="G26" s="168" t="s">
        <v>18</v>
      </c>
      <c r="H26" s="168" t="s">
        <v>10</v>
      </c>
      <c r="I26" s="188" t="s">
        <v>4</v>
      </c>
      <c r="J26" s="189"/>
      <c r="K26" s="190"/>
      <c r="M26" s="208"/>
      <c r="N26" s="208"/>
      <c r="O26" s="208"/>
      <c r="P26" s="208"/>
      <c r="Q26" s="208"/>
      <c r="R26" s="208"/>
      <c r="S26" s="208"/>
      <c r="T26" s="208"/>
    </row>
    <row r="27" spans="1:27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69"/>
      <c r="H27" s="169"/>
      <c r="I27" s="5" t="s">
        <v>11</v>
      </c>
      <c r="J27" s="5" t="s">
        <v>12</v>
      </c>
      <c r="K27" s="5" t="s">
        <v>13</v>
      </c>
      <c r="M27" s="208"/>
      <c r="N27" s="208"/>
      <c r="O27" s="208"/>
      <c r="P27" s="208"/>
      <c r="Q27" s="208"/>
      <c r="R27" s="208"/>
      <c r="S27" s="208"/>
      <c r="T27" s="208"/>
    </row>
    <row r="28" spans="1:27" ht="17.25" customHeight="1" x14ac:dyDescent="0.25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0"/>
      <c r="I28" s="25">
        <v>3</v>
      </c>
      <c r="J28" s="25">
        <v>1</v>
      </c>
      <c r="K28" s="25">
        <v>12</v>
      </c>
      <c r="M28" s="208"/>
      <c r="N28" s="208"/>
      <c r="O28" s="208"/>
      <c r="P28" s="208"/>
      <c r="Q28" s="208"/>
      <c r="R28" s="208"/>
      <c r="S28" s="208"/>
      <c r="T28" s="208"/>
      <c r="U28" s="217" t="str">
        <f t="shared" ref="U28" si="0">IF(SUM(B28:K28)=52,"Corect","Suma trebuie să fie 52")</f>
        <v>Corect</v>
      </c>
      <c r="V28" s="217"/>
    </row>
    <row r="29" spans="1:27" ht="15" customHeight="1" x14ac:dyDescent="0.25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 t="s">
        <v>108</v>
      </c>
      <c r="I29" s="25">
        <v>3</v>
      </c>
      <c r="J29" s="25">
        <v>1</v>
      </c>
      <c r="K29" s="25">
        <v>12</v>
      </c>
      <c r="M29" s="208"/>
      <c r="N29" s="208"/>
      <c r="O29" s="208"/>
      <c r="P29" s="208"/>
      <c r="Q29" s="208"/>
      <c r="R29" s="208"/>
      <c r="S29" s="208"/>
      <c r="T29" s="208"/>
      <c r="U29" s="217" t="str">
        <f t="shared" ref="U29" si="1">IF(SUM(B29:K29)=52,"Corect","Suma trebuie să fie 52")</f>
        <v>Corect</v>
      </c>
      <c r="V29" s="217"/>
    </row>
    <row r="30" spans="1:27" ht="15.75" customHeight="1" x14ac:dyDescent="0.25">
      <c r="A30" s="198" t="s">
        <v>109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M30" s="208"/>
      <c r="N30" s="208"/>
      <c r="O30" s="208"/>
      <c r="P30" s="208"/>
      <c r="Q30" s="208"/>
      <c r="R30" s="208"/>
      <c r="S30" s="208"/>
      <c r="T30" s="208"/>
    </row>
    <row r="31" spans="1:27" ht="21" customHeight="1" x14ac:dyDescent="0.25">
      <c r="A31" s="35"/>
      <c r="B31" s="35"/>
      <c r="C31" s="35"/>
      <c r="D31" s="35"/>
      <c r="E31" s="35"/>
      <c r="F31" s="35"/>
      <c r="G31" s="35"/>
      <c r="M31" s="208"/>
      <c r="N31" s="208"/>
      <c r="O31" s="208"/>
      <c r="P31" s="208"/>
      <c r="Q31" s="208"/>
      <c r="R31" s="208"/>
      <c r="S31" s="208"/>
      <c r="T31" s="208"/>
    </row>
    <row r="32" spans="1:27" ht="15" customHeight="1" x14ac:dyDescent="0.25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3" x14ac:dyDescent="0.25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3" ht="20.25" customHeight="1" x14ac:dyDescent="0.25">
      <c r="A35" s="181" t="s">
        <v>21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3" ht="20.25" hidden="1" customHeight="1" x14ac:dyDescent="0.25">
      <c r="N36" s="9"/>
      <c r="O36" s="10" t="s">
        <v>37</v>
      </c>
      <c r="P36" s="10" t="s">
        <v>38</v>
      </c>
      <c r="Q36" s="10" t="s">
        <v>39</v>
      </c>
      <c r="R36" s="10" t="s">
        <v>98</v>
      </c>
      <c r="S36" s="10" t="s">
        <v>99</v>
      </c>
      <c r="T36" s="10"/>
    </row>
    <row r="37" spans="1:23" ht="20.25" customHeight="1" x14ac:dyDescent="0.25">
      <c r="A37" s="92" t="s">
        <v>42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3" ht="26.25" customHeight="1" x14ac:dyDescent="0.25">
      <c r="A38" s="171" t="s">
        <v>27</v>
      </c>
      <c r="B38" s="160" t="s">
        <v>26</v>
      </c>
      <c r="C38" s="161"/>
      <c r="D38" s="161"/>
      <c r="E38" s="161"/>
      <c r="F38" s="161"/>
      <c r="G38" s="161"/>
      <c r="H38" s="161"/>
      <c r="I38" s="162"/>
      <c r="J38" s="168" t="s">
        <v>40</v>
      </c>
      <c r="K38" s="174" t="s">
        <v>24</v>
      </c>
      <c r="L38" s="175"/>
      <c r="M38" s="176"/>
      <c r="N38" s="174" t="s">
        <v>41</v>
      </c>
      <c r="O38" s="191"/>
      <c r="P38" s="192"/>
      <c r="Q38" s="174" t="s">
        <v>23</v>
      </c>
      <c r="R38" s="175"/>
      <c r="S38" s="176"/>
      <c r="T38" s="200" t="s">
        <v>22</v>
      </c>
    </row>
    <row r="39" spans="1:23" ht="12.75" customHeight="1" x14ac:dyDescent="0.25">
      <c r="A39" s="172"/>
      <c r="B39" s="163"/>
      <c r="C39" s="164"/>
      <c r="D39" s="164"/>
      <c r="E39" s="164"/>
      <c r="F39" s="164"/>
      <c r="G39" s="164"/>
      <c r="H39" s="164"/>
      <c r="I39" s="165"/>
      <c r="J39" s="169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169"/>
    </row>
    <row r="40" spans="1:23" ht="12.75" customHeight="1" x14ac:dyDescent="0.25">
      <c r="A40" s="39" t="s">
        <v>111</v>
      </c>
      <c r="B40" s="201" t="s">
        <v>112</v>
      </c>
      <c r="C40" s="202"/>
      <c r="D40" s="202"/>
      <c r="E40" s="202"/>
      <c r="F40" s="202"/>
      <c r="G40" s="202"/>
      <c r="H40" s="202"/>
      <c r="I40" s="203"/>
      <c r="J40" s="11">
        <v>4</v>
      </c>
      <c r="K40" s="11">
        <v>2</v>
      </c>
      <c r="L40" s="11">
        <v>1</v>
      </c>
      <c r="M40" s="11">
        <v>0</v>
      </c>
      <c r="N40" s="18">
        <f>K40+L40+M40</f>
        <v>3</v>
      </c>
      <c r="O40" s="19">
        <f>P40-N40</f>
        <v>4</v>
      </c>
      <c r="P40" s="19">
        <f>ROUND(PRODUCT(J40,25)/14,0)</f>
        <v>7</v>
      </c>
      <c r="Q40" s="24"/>
      <c r="R40" s="11" t="s">
        <v>28</v>
      </c>
      <c r="S40" s="25"/>
      <c r="T40" s="11" t="s">
        <v>37</v>
      </c>
    </row>
    <row r="41" spans="1:23" ht="12.75" customHeight="1" x14ac:dyDescent="0.25">
      <c r="A41" s="31" t="s">
        <v>113</v>
      </c>
      <c r="B41" s="201" t="s">
        <v>120</v>
      </c>
      <c r="C41" s="202"/>
      <c r="D41" s="202"/>
      <c r="E41" s="202"/>
      <c r="F41" s="202"/>
      <c r="G41" s="202"/>
      <c r="H41" s="202"/>
      <c r="I41" s="203"/>
      <c r="J41" s="11">
        <v>7</v>
      </c>
      <c r="K41" s="11">
        <v>2</v>
      </c>
      <c r="L41" s="11">
        <v>1</v>
      </c>
      <c r="M41" s="11">
        <v>0</v>
      </c>
      <c r="N41" s="56">
        <f t="shared" ref="N41:N44" si="2">K41+L41+M41</f>
        <v>3</v>
      </c>
      <c r="O41" s="19">
        <f t="shared" ref="O41:O44" si="3">P41-N41</f>
        <v>10</v>
      </c>
      <c r="P41" s="19">
        <f t="shared" ref="P41:P44" si="4">ROUND(PRODUCT(J41,25)/14,0)</f>
        <v>13</v>
      </c>
      <c r="Q41" s="24" t="s">
        <v>32</v>
      </c>
      <c r="R41" s="11"/>
      <c r="S41" s="25"/>
      <c r="T41" s="11" t="s">
        <v>37</v>
      </c>
    </row>
    <row r="42" spans="1:23" ht="12.75" customHeight="1" x14ac:dyDescent="0.25">
      <c r="A42" s="31" t="s">
        <v>114</v>
      </c>
      <c r="B42" s="201" t="s">
        <v>121</v>
      </c>
      <c r="C42" s="202"/>
      <c r="D42" s="202"/>
      <c r="E42" s="202"/>
      <c r="F42" s="202"/>
      <c r="G42" s="202"/>
      <c r="H42" s="202"/>
      <c r="I42" s="203"/>
      <c r="J42" s="11">
        <v>8</v>
      </c>
      <c r="K42" s="11">
        <v>2</v>
      </c>
      <c r="L42" s="11">
        <v>1</v>
      </c>
      <c r="M42" s="11">
        <v>0</v>
      </c>
      <c r="N42" s="56">
        <f t="shared" si="2"/>
        <v>3</v>
      </c>
      <c r="O42" s="19">
        <f t="shared" si="3"/>
        <v>11</v>
      </c>
      <c r="P42" s="19">
        <f t="shared" si="4"/>
        <v>14</v>
      </c>
      <c r="Q42" s="24" t="s">
        <v>32</v>
      </c>
      <c r="R42" s="11"/>
      <c r="S42" s="25"/>
      <c r="T42" s="11" t="s">
        <v>39</v>
      </c>
    </row>
    <row r="43" spans="1:23" ht="12.75" customHeight="1" x14ac:dyDescent="0.25">
      <c r="A43" s="31" t="s">
        <v>115</v>
      </c>
      <c r="B43" s="201" t="s">
        <v>122</v>
      </c>
      <c r="C43" s="202"/>
      <c r="D43" s="202"/>
      <c r="E43" s="202"/>
      <c r="F43" s="202"/>
      <c r="G43" s="202"/>
      <c r="H43" s="202"/>
      <c r="I43" s="203"/>
      <c r="J43" s="11">
        <v>4</v>
      </c>
      <c r="K43" s="11">
        <v>0</v>
      </c>
      <c r="L43" s="11">
        <v>2</v>
      </c>
      <c r="M43" s="11">
        <v>1</v>
      </c>
      <c r="N43" s="56">
        <f t="shared" si="2"/>
        <v>3</v>
      </c>
      <c r="O43" s="19">
        <f t="shared" si="3"/>
        <v>4</v>
      </c>
      <c r="P43" s="19">
        <f t="shared" si="4"/>
        <v>7</v>
      </c>
      <c r="Q43" s="24" t="s">
        <v>32</v>
      </c>
      <c r="R43" s="11"/>
      <c r="S43" s="25"/>
      <c r="T43" s="11" t="s">
        <v>39</v>
      </c>
    </row>
    <row r="44" spans="1:23" ht="12.75" customHeight="1" x14ac:dyDescent="0.25">
      <c r="A44" s="31" t="s">
        <v>116</v>
      </c>
      <c r="B44" s="201" t="s">
        <v>123</v>
      </c>
      <c r="C44" s="202"/>
      <c r="D44" s="202"/>
      <c r="E44" s="202"/>
      <c r="F44" s="202"/>
      <c r="G44" s="202"/>
      <c r="H44" s="202"/>
      <c r="I44" s="203"/>
      <c r="J44" s="11">
        <v>7</v>
      </c>
      <c r="K44" s="11">
        <v>2</v>
      </c>
      <c r="L44" s="11">
        <v>1</v>
      </c>
      <c r="M44" s="11">
        <v>0</v>
      </c>
      <c r="N44" s="56">
        <f t="shared" si="2"/>
        <v>3</v>
      </c>
      <c r="O44" s="19">
        <f t="shared" si="3"/>
        <v>10</v>
      </c>
      <c r="P44" s="19">
        <f t="shared" si="4"/>
        <v>13</v>
      </c>
      <c r="Q44" s="24" t="s">
        <v>32</v>
      </c>
      <c r="R44" s="11"/>
      <c r="S44" s="25"/>
      <c r="T44" s="11" t="s">
        <v>37</v>
      </c>
    </row>
    <row r="45" spans="1:23" x14ac:dyDescent="0.25">
      <c r="A45" s="21" t="s">
        <v>25</v>
      </c>
      <c r="B45" s="95"/>
      <c r="C45" s="150"/>
      <c r="D45" s="150"/>
      <c r="E45" s="150"/>
      <c r="F45" s="150"/>
      <c r="G45" s="150"/>
      <c r="H45" s="150"/>
      <c r="I45" s="96"/>
      <c r="J45" s="21">
        <f t="shared" ref="J45:P45" si="5">SUM(J40:J44)</f>
        <v>30</v>
      </c>
      <c r="K45" s="21">
        <f t="shared" si="5"/>
        <v>8</v>
      </c>
      <c r="L45" s="21">
        <f t="shared" si="5"/>
        <v>6</v>
      </c>
      <c r="M45" s="21">
        <f t="shared" si="5"/>
        <v>1</v>
      </c>
      <c r="N45" s="21">
        <f t="shared" si="5"/>
        <v>15</v>
      </c>
      <c r="O45" s="21">
        <f t="shared" si="5"/>
        <v>39</v>
      </c>
      <c r="P45" s="21">
        <f t="shared" si="5"/>
        <v>54</v>
      </c>
      <c r="Q45" s="21">
        <f>COUNTIF(Q40:Q44,"E")</f>
        <v>4</v>
      </c>
      <c r="R45" s="21">
        <f>COUNTIF(R40:R44,"C")</f>
        <v>1</v>
      </c>
      <c r="S45" s="21">
        <f>COUNTIF(S40:S44,"VP")</f>
        <v>0</v>
      </c>
      <c r="T45" s="54">
        <f>COUNTA(T40:T44)</f>
        <v>5</v>
      </c>
      <c r="U45" s="218" t="str">
        <f>IF(Q45&gt;=SUM(R45:S45),"Corect","E trebuie să fie cel puțin egal cu C+VP")</f>
        <v>Corect</v>
      </c>
      <c r="V45" s="219"/>
      <c r="W45" s="219"/>
    </row>
    <row r="46" spans="1:23" ht="12.75" customHeight="1" x14ac:dyDescent="0.25"/>
    <row r="47" spans="1:23" ht="16.5" customHeight="1" x14ac:dyDescent="0.25">
      <c r="A47" s="92" t="s">
        <v>43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3" ht="26.25" customHeight="1" x14ac:dyDescent="0.25">
      <c r="A48" s="171" t="s">
        <v>27</v>
      </c>
      <c r="B48" s="160" t="s">
        <v>26</v>
      </c>
      <c r="C48" s="161"/>
      <c r="D48" s="161"/>
      <c r="E48" s="161"/>
      <c r="F48" s="161"/>
      <c r="G48" s="161"/>
      <c r="H48" s="161"/>
      <c r="I48" s="162"/>
      <c r="J48" s="168" t="s">
        <v>40</v>
      </c>
      <c r="K48" s="174" t="s">
        <v>24</v>
      </c>
      <c r="L48" s="175"/>
      <c r="M48" s="176"/>
      <c r="N48" s="174" t="s">
        <v>41</v>
      </c>
      <c r="O48" s="191"/>
      <c r="P48" s="192"/>
      <c r="Q48" s="174" t="s">
        <v>23</v>
      </c>
      <c r="R48" s="175"/>
      <c r="S48" s="176"/>
      <c r="T48" s="200" t="s">
        <v>22</v>
      </c>
    </row>
    <row r="49" spans="1:23" ht="12.75" customHeight="1" x14ac:dyDescent="0.25">
      <c r="A49" s="172"/>
      <c r="B49" s="163"/>
      <c r="C49" s="164"/>
      <c r="D49" s="164"/>
      <c r="E49" s="164"/>
      <c r="F49" s="164"/>
      <c r="G49" s="164"/>
      <c r="H49" s="164"/>
      <c r="I49" s="165"/>
      <c r="J49" s="169"/>
      <c r="K49" s="5" t="s">
        <v>28</v>
      </c>
      <c r="L49" s="5" t="s">
        <v>29</v>
      </c>
      <c r="M49" s="5" t="s">
        <v>30</v>
      </c>
      <c r="N49" s="5" t="s">
        <v>34</v>
      </c>
      <c r="O49" s="5" t="s">
        <v>7</v>
      </c>
      <c r="P49" s="5" t="s">
        <v>31</v>
      </c>
      <c r="Q49" s="5" t="s">
        <v>32</v>
      </c>
      <c r="R49" s="5" t="s">
        <v>28</v>
      </c>
      <c r="S49" s="5" t="s">
        <v>33</v>
      </c>
      <c r="T49" s="169"/>
    </row>
    <row r="50" spans="1:23" x14ac:dyDescent="0.25">
      <c r="A50" s="39" t="s">
        <v>124</v>
      </c>
      <c r="B50" s="201" t="s">
        <v>129</v>
      </c>
      <c r="C50" s="202"/>
      <c r="D50" s="202"/>
      <c r="E50" s="202"/>
      <c r="F50" s="202"/>
      <c r="G50" s="202"/>
      <c r="H50" s="202"/>
      <c r="I50" s="203"/>
      <c r="J50" s="11">
        <v>7</v>
      </c>
      <c r="K50" s="11">
        <v>2</v>
      </c>
      <c r="L50" s="11">
        <v>1</v>
      </c>
      <c r="M50" s="11">
        <v>0</v>
      </c>
      <c r="N50" s="18">
        <f>K50+L50+M50</f>
        <v>3</v>
      </c>
      <c r="O50" s="19">
        <f>P50-N50</f>
        <v>10</v>
      </c>
      <c r="P50" s="19">
        <f>ROUND(PRODUCT(J50,25)/14,0)</f>
        <v>13</v>
      </c>
      <c r="Q50" s="24" t="s">
        <v>32</v>
      </c>
      <c r="R50" s="11"/>
      <c r="S50" s="25"/>
      <c r="T50" s="11" t="s">
        <v>37</v>
      </c>
    </row>
    <row r="51" spans="1:23" x14ac:dyDescent="0.25">
      <c r="A51" s="31" t="s">
        <v>125</v>
      </c>
      <c r="B51" s="201" t="s">
        <v>130</v>
      </c>
      <c r="C51" s="202"/>
      <c r="D51" s="202"/>
      <c r="E51" s="202"/>
      <c r="F51" s="202"/>
      <c r="G51" s="202"/>
      <c r="H51" s="202"/>
      <c r="I51" s="203"/>
      <c r="J51" s="11">
        <v>6</v>
      </c>
      <c r="K51" s="11">
        <v>2</v>
      </c>
      <c r="L51" s="11">
        <v>1</v>
      </c>
      <c r="M51" s="11">
        <v>0</v>
      </c>
      <c r="N51" s="18">
        <f t="shared" ref="N51:N53" si="6">K51+L51+M51</f>
        <v>3</v>
      </c>
      <c r="O51" s="19">
        <f t="shared" ref="O51:O53" si="7">P51-N51</f>
        <v>8</v>
      </c>
      <c r="P51" s="19">
        <f t="shared" ref="P51:P53" si="8">ROUND(PRODUCT(J51,25)/14,0)</f>
        <v>11</v>
      </c>
      <c r="Q51" s="24" t="s">
        <v>32</v>
      </c>
      <c r="R51" s="11"/>
      <c r="S51" s="25"/>
      <c r="T51" s="11" t="s">
        <v>37</v>
      </c>
    </row>
    <row r="52" spans="1:23" x14ac:dyDescent="0.25">
      <c r="A52" s="31" t="s">
        <v>126</v>
      </c>
      <c r="B52" s="201" t="s">
        <v>131</v>
      </c>
      <c r="C52" s="202"/>
      <c r="D52" s="202"/>
      <c r="E52" s="202"/>
      <c r="F52" s="202"/>
      <c r="G52" s="202"/>
      <c r="H52" s="202"/>
      <c r="I52" s="203"/>
      <c r="J52" s="11">
        <v>6</v>
      </c>
      <c r="K52" s="11">
        <v>2</v>
      </c>
      <c r="L52" s="11">
        <v>1</v>
      </c>
      <c r="M52" s="11">
        <v>0</v>
      </c>
      <c r="N52" s="18">
        <f t="shared" si="6"/>
        <v>3</v>
      </c>
      <c r="O52" s="19">
        <f t="shared" si="7"/>
        <v>8</v>
      </c>
      <c r="P52" s="19">
        <f t="shared" si="8"/>
        <v>11</v>
      </c>
      <c r="Q52" s="24" t="s">
        <v>32</v>
      </c>
      <c r="R52" s="11"/>
      <c r="S52" s="25"/>
      <c r="T52" s="11" t="s">
        <v>38</v>
      </c>
    </row>
    <row r="53" spans="1:23" x14ac:dyDescent="0.25">
      <c r="A53" s="31" t="s">
        <v>127</v>
      </c>
      <c r="B53" s="201" t="s">
        <v>132</v>
      </c>
      <c r="C53" s="202"/>
      <c r="D53" s="202"/>
      <c r="E53" s="202"/>
      <c r="F53" s="202"/>
      <c r="G53" s="202"/>
      <c r="H53" s="202"/>
      <c r="I53" s="203"/>
      <c r="J53" s="11">
        <v>4</v>
      </c>
      <c r="K53" s="11">
        <v>0</v>
      </c>
      <c r="L53" s="11">
        <v>2</v>
      </c>
      <c r="M53" s="11">
        <v>1</v>
      </c>
      <c r="N53" s="18">
        <f t="shared" si="6"/>
        <v>3</v>
      </c>
      <c r="O53" s="19">
        <f t="shared" si="7"/>
        <v>4</v>
      </c>
      <c r="P53" s="19">
        <f t="shared" si="8"/>
        <v>7</v>
      </c>
      <c r="Q53" s="24" t="s">
        <v>32</v>
      </c>
      <c r="R53" s="11"/>
      <c r="S53" s="25"/>
      <c r="T53" s="11" t="s">
        <v>39</v>
      </c>
    </row>
    <row r="54" spans="1:23" x14ac:dyDescent="0.25">
      <c r="A54" s="31" t="s">
        <v>128</v>
      </c>
      <c r="B54" s="201" t="s">
        <v>133</v>
      </c>
      <c r="C54" s="202"/>
      <c r="D54" s="202"/>
      <c r="E54" s="202"/>
      <c r="F54" s="202"/>
      <c r="G54" s="202"/>
      <c r="H54" s="202"/>
      <c r="I54" s="203"/>
      <c r="J54" s="11">
        <v>7</v>
      </c>
      <c r="K54" s="11">
        <v>2</v>
      </c>
      <c r="L54" s="11">
        <v>1</v>
      </c>
      <c r="M54" s="11">
        <v>0</v>
      </c>
      <c r="N54" s="18">
        <f>K54+L54+M54</f>
        <v>3</v>
      </c>
      <c r="O54" s="19">
        <f>P54-N54</f>
        <v>10</v>
      </c>
      <c r="P54" s="19">
        <f>ROUND(PRODUCT(J54,25)/14,0)</f>
        <v>13</v>
      </c>
      <c r="Q54" s="24" t="s">
        <v>32</v>
      </c>
      <c r="R54" s="11"/>
      <c r="S54" s="25"/>
      <c r="T54" s="11" t="s">
        <v>38</v>
      </c>
    </row>
    <row r="55" spans="1:23" x14ac:dyDescent="0.25">
      <c r="A55" s="21" t="s">
        <v>25</v>
      </c>
      <c r="B55" s="95"/>
      <c r="C55" s="150"/>
      <c r="D55" s="150"/>
      <c r="E55" s="150"/>
      <c r="F55" s="150"/>
      <c r="G55" s="150"/>
      <c r="H55" s="150"/>
      <c r="I55" s="96"/>
      <c r="J55" s="21">
        <f t="shared" ref="J55:P55" si="9">SUM(J50:J54)</f>
        <v>30</v>
      </c>
      <c r="K55" s="21">
        <f t="shared" si="9"/>
        <v>8</v>
      </c>
      <c r="L55" s="21">
        <f t="shared" si="9"/>
        <v>6</v>
      </c>
      <c r="M55" s="21">
        <f t="shared" si="9"/>
        <v>1</v>
      </c>
      <c r="N55" s="21">
        <f t="shared" si="9"/>
        <v>15</v>
      </c>
      <c r="O55" s="21">
        <f t="shared" si="9"/>
        <v>40</v>
      </c>
      <c r="P55" s="21">
        <f t="shared" si="9"/>
        <v>55</v>
      </c>
      <c r="Q55" s="21">
        <f>COUNTIF(Q50:Q54,"E")</f>
        <v>5</v>
      </c>
      <c r="R55" s="21">
        <f>COUNTIF(R50:R54,"C")</f>
        <v>0</v>
      </c>
      <c r="S55" s="21">
        <f>COUNTIF(S50:S54,"VP")</f>
        <v>0</v>
      </c>
      <c r="T55" s="54">
        <f>COUNTA(T50:T54)</f>
        <v>5</v>
      </c>
      <c r="U55" s="218" t="str">
        <f>IF(Q55&gt;=SUM(R55:S55),"Corect","E trebuie să fie cel puțin egal cu C+VP")</f>
        <v>Corect</v>
      </c>
      <c r="V55" s="219"/>
      <c r="W55" s="219"/>
    </row>
    <row r="56" spans="1:23" ht="11.25" customHeight="1" x14ac:dyDescent="0.25"/>
    <row r="57" spans="1:23" ht="18" customHeight="1" x14ac:dyDescent="0.25">
      <c r="A57" s="92" t="s">
        <v>44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3" ht="25.5" customHeight="1" x14ac:dyDescent="0.25">
      <c r="A58" s="171" t="s">
        <v>27</v>
      </c>
      <c r="B58" s="160" t="s">
        <v>26</v>
      </c>
      <c r="C58" s="161"/>
      <c r="D58" s="161"/>
      <c r="E58" s="161"/>
      <c r="F58" s="161"/>
      <c r="G58" s="161"/>
      <c r="H58" s="161"/>
      <c r="I58" s="162"/>
      <c r="J58" s="168" t="s">
        <v>40</v>
      </c>
      <c r="K58" s="174" t="s">
        <v>24</v>
      </c>
      <c r="L58" s="175"/>
      <c r="M58" s="176"/>
      <c r="N58" s="174" t="s">
        <v>41</v>
      </c>
      <c r="O58" s="191"/>
      <c r="P58" s="192"/>
      <c r="Q58" s="174" t="s">
        <v>23</v>
      </c>
      <c r="R58" s="175"/>
      <c r="S58" s="176"/>
      <c r="T58" s="200" t="s">
        <v>22</v>
      </c>
    </row>
    <row r="59" spans="1:23" ht="16.5" customHeight="1" x14ac:dyDescent="0.25">
      <c r="A59" s="172"/>
      <c r="B59" s="163"/>
      <c r="C59" s="164"/>
      <c r="D59" s="164"/>
      <c r="E59" s="164"/>
      <c r="F59" s="164"/>
      <c r="G59" s="164"/>
      <c r="H59" s="164"/>
      <c r="I59" s="165"/>
      <c r="J59" s="169"/>
      <c r="K59" s="5" t="s">
        <v>28</v>
      </c>
      <c r="L59" s="5" t="s">
        <v>29</v>
      </c>
      <c r="M59" s="5" t="s">
        <v>30</v>
      </c>
      <c r="N59" s="5" t="s">
        <v>34</v>
      </c>
      <c r="O59" s="5" t="s">
        <v>7</v>
      </c>
      <c r="P59" s="5" t="s">
        <v>31</v>
      </c>
      <c r="Q59" s="5" t="s">
        <v>32</v>
      </c>
      <c r="R59" s="5" t="s">
        <v>28</v>
      </c>
      <c r="S59" s="5" t="s">
        <v>33</v>
      </c>
      <c r="T59" s="169"/>
    </row>
    <row r="60" spans="1:23" x14ac:dyDescent="0.25">
      <c r="A60" s="39" t="s">
        <v>134</v>
      </c>
      <c r="B60" s="201" t="s">
        <v>139</v>
      </c>
      <c r="C60" s="202"/>
      <c r="D60" s="202"/>
      <c r="E60" s="202"/>
      <c r="F60" s="202"/>
      <c r="G60" s="202"/>
      <c r="H60" s="202"/>
      <c r="I60" s="203"/>
      <c r="J60" s="11">
        <v>8</v>
      </c>
      <c r="K60" s="11">
        <v>2</v>
      </c>
      <c r="L60" s="11">
        <v>1</v>
      </c>
      <c r="M60" s="11">
        <v>0</v>
      </c>
      <c r="N60" s="18">
        <f>K60+L60+M60</f>
        <v>3</v>
      </c>
      <c r="O60" s="19">
        <f>P60-N60</f>
        <v>11</v>
      </c>
      <c r="P60" s="19">
        <f>ROUND(PRODUCT(J60,25)/14,0)</f>
        <v>14</v>
      </c>
      <c r="Q60" s="24" t="s">
        <v>32</v>
      </c>
      <c r="R60" s="11"/>
      <c r="S60" s="25"/>
      <c r="T60" s="11" t="s">
        <v>37</v>
      </c>
    </row>
    <row r="61" spans="1:23" x14ac:dyDescent="0.25">
      <c r="A61" s="31" t="s">
        <v>135</v>
      </c>
      <c r="B61" s="201" t="s">
        <v>140</v>
      </c>
      <c r="C61" s="202"/>
      <c r="D61" s="202"/>
      <c r="E61" s="202"/>
      <c r="F61" s="202"/>
      <c r="G61" s="202"/>
      <c r="H61" s="202"/>
      <c r="I61" s="203"/>
      <c r="J61" s="11">
        <v>8</v>
      </c>
      <c r="K61" s="11">
        <v>2</v>
      </c>
      <c r="L61" s="11">
        <v>1</v>
      </c>
      <c r="M61" s="11">
        <v>0</v>
      </c>
      <c r="N61" s="18">
        <f t="shared" ref="N61:N64" si="10">K61+L61+M61</f>
        <v>3</v>
      </c>
      <c r="O61" s="19">
        <f t="shared" ref="O61:O64" si="11">P61-N61</f>
        <v>11</v>
      </c>
      <c r="P61" s="19">
        <f t="shared" ref="P61:P64" si="12">ROUND(PRODUCT(J61,25)/14,0)</f>
        <v>14</v>
      </c>
      <c r="Q61" s="24" t="s">
        <v>32</v>
      </c>
      <c r="R61" s="11"/>
      <c r="S61" s="25"/>
      <c r="T61" s="11" t="s">
        <v>37</v>
      </c>
    </row>
    <row r="62" spans="1:23" x14ac:dyDescent="0.25">
      <c r="A62" s="31" t="s">
        <v>136</v>
      </c>
      <c r="B62" s="201" t="s">
        <v>141</v>
      </c>
      <c r="C62" s="202"/>
      <c r="D62" s="202"/>
      <c r="E62" s="202"/>
      <c r="F62" s="202"/>
      <c r="G62" s="202"/>
      <c r="H62" s="202"/>
      <c r="I62" s="203"/>
      <c r="J62" s="11">
        <v>3</v>
      </c>
      <c r="K62" s="11">
        <v>0</v>
      </c>
      <c r="L62" s="11">
        <v>0</v>
      </c>
      <c r="M62" s="11">
        <v>0</v>
      </c>
      <c r="N62" s="18">
        <f t="shared" si="10"/>
        <v>0</v>
      </c>
      <c r="O62" s="19">
        <f t="shared" si="11"/>
        <v>5</v>
      </c>
      <c r="P62" s="19">
        <f t="shared" si="12"/>
        <v>5</v>
      </c>
      <c r="Q62" s="24" t="s">
        <v>32</v>
      </c>
      <c r="R62" s="11"/>
      <c r="S62" s="25"/>
      <c r="T62" s="11" t="s">
        <v>38</v>
      </c>
    </row>
    <row r="63" spans="1:23" x14ac:dyDescent="0.25">
      <c r="A63" s="31" t="s">
        <v>137</v>
      </c>
      <c r="B63" s="201" t="s">
        <v>142</v>
      </c>
      <c r="C63" s="202"/>
      <c r="D63" s="202"/>
      <c r="E63" s="202"/>
      <c r="F63" s="202"/>
      <c r="G63" s="202"/>
      <c r="H63" s="202"/>
      <c r="I63" s="203"/>
      <c r="J63" s="11">
        <v>4</v>
      </c>
      <c r="K63" s="11">
        <v>0</v>
      </c>
      <c r="L63" s="11">
        <v>2</v>
      </c>
      <c r="M63" s="11">
        <v>1</v>
      </c>
      <c r="N63" s="18">
        <f t="shared" si="10"/>
        <v>3</v>
      </c>
      <c r="O63" s="19">
        <f t="shared" si="11"/>
        <v>4</v>
      </c>
      <c r="P63" s="19">
        <f t="shared" si="12"/>
        <v>7</v>
      </c>
      <c r="Q63" s="24" t="s">
        <v>32</v>
      </c>
      <c r="R63" s="11"/>
      <c r="S63" s="25"/>
      <c r="T63" s="11" t="s">
        <v>39</v>
      </c>
    </row>
    <row r="64" spans="1:23" x14ac:dyDescent="0.25">
      <c r="A64" s="31" t="s">
        <v>138</v>
      </c>
      <c r="B64" s="201" t="s">
        <v>170</v>
      </c>
      <c r="C64" s="202"/>
      <c r="D64" s="202"/>
      <c r="E64" s="202"/>
      <c r="F64" s="202"/>
      <c r="G64" s="202"/>
      <c r="H64" s="202"/>
      <c r="I64" s="203"/>
      <c r="J64" s="11">
        <v>7</v>
      </c>
      <c r="K64" s="11">
        <v>2</v>
      </c>
      <c r="L64" s="11">
        <v>1</v>
      </c>
      <c r="M64" s="11">
        <v>0</v>
      </c>
      <c r="N64" s="18">
        <f t="shared" si="10"/>
        <v>3</v>
      </c>
      <c r="O64" s="19">
        <f t="shared" si="11"/>
        <v>10</v>
      </c>
      <c r="P64" s="19">
        <f t="shared" si="12"/>
        <v>13</v>
      </c>
      <c r="Q64" s="24" t="s">
        <v>32</v>
      </c>
      <c r="R64" s="11"/>
      <c r="S64" s="25"/>
      <c r="T64" s="11" t="s">
        <v>38</v>
      </c>
    </row>
    <row r="65" spans="1:23" x14ac:dyDescent="0.25">
      <c r="A65" s="21" t="s">
        <v>25</v>
      </c>
      <c r="B65" s="95"/>
      <c r="C65" s="150"/>
      <c r="D65" s="150"/>
      <c r="E65" s="150"/>
      <c r="F65" s="150"/>
      <c r="G65" s="150"/>
      <c r="H65" s="150"/>
      <c r="I65" s="96"/>
      <c r="J65" s="21">
        <f t="shared" ref="J65:P65" si="13">SUM(J60:J64)</f>
        <v>30</v>
      </c>
      <c r="K65" s="21">
        <f t="shared" si="13"/>
        <v>6</v>
      </c>
      <c r="L65" s="21">
        <f t="shared" si="13"/>
        <v>5</v>
      </c>
      <c r="M65" s="21">
        <f t="shared" si="13"/>
        <v>1</v>
      </c>
      <c r="N65" s="21">
        <f t="shared" si="13"/>
        <v>12</v>
      </c>
      <c r="O65" s="21">
        <f t="shared" si="13"/>
        <v>41</v>
      </c>
      <c r="P65" s="21">
        <f t="shared" si="13"/>
        <v>53</v>
      </c>
      <c r="Q65" s="21">
        <f>COUNTIF(Q60:Q64,"E")</f>
        <v>5</v>
      </c>
      <c r="R65" s="21">
        <f>COUNTIF(R60:R64,"C")</f>
        <v>0</v>
      </c>
      <c r="S65" s="21">
        <f>COUNTIF(S60:S64,"VP")</f>
        <v>0</v>
      </c>
      <c r="T65" s="54">
        <f>COUNTA(T60:T64)</f>
        <v>5</v>
      </c>
      <c r="U65" s="218" t="str">
        <f>IF(Q65&gt;=SUM(R65:S65),"Corect","E trebuie să fie cel puțin egal cu C+VP")</f>
        <v>Corect</v>
      </c>
      <c r="V65" s="219"/>
      <c r="W65" s="219"/>
    </row>
    <row r="66" spans="1:23" ht="21.75" customHeight="1" x14ac:dyDescent="0.25"/>
    <row r="67" spans="1:23" ht="18.75" customHeight="1" x14ac:dyDescent="0.25">
      <c r="A67" s="92" t="s">
        <v>45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3" ht="24.75" customHeight="1" x14ac:dyDescent="0.25">
      <c r="A68" s="171" t="s">
        <v>27</v>
      </c>
      <c r="B68" s="160" t="s">
        <v>26</v>
      </c>
      <c r="C68" s="161"/>
      <c r="D68" s="161"/>
      <c r="E68" s="161"/>
      <c r="F68" s="161"/>
      <c r="G68" s="161"/>
      <c r="H68" s="161"/>
      <c r="I68" s="162"/>
      <c r="J68" s="168" t="s">
        <v>40</v>
      </c>
      <c r="K68" s="174" t="s">
        <v>24</v>
      </c>
      <c r="L68" s="175"/>
      <c r="M68" s="176"/>
      <c r="N68" s="174" t="s">
        <v>41</v>
      </c>
      <c r="O68" s="191"/>
      <c r="P68" s="192"/>
      <c r="Q68" s="174" t="s">
        <v>23</v>
      </c>
      <c r="R68" s="175"/>
      <c r="S68" s="176"/>
      <c r="T68" s="200" t="s">
        <v>22</v>
      </c>
      <c r="U68" s="1">
        <f>162*14+63*12</f>
        <v>3024</v>
      </c>
    </row>
    <row r="69" spans="1:23" x14ac:dyDescent="0.25">
      <c r="A69" s="172"/>
      <c r="B69" s="163"/>
      <c r="C69" s="164"/>
      <c r="D69" s="164"/>
      <c r="E69" s="164"/>
      <c r="F69" s="164"/>
      <c r="G69" s="164"/>
      <c r="H69" s="164"/>
      <c r="I69" s="165"/>
      <c r="J69" s="169"/>
      <c r="K69" s="5" t="s">
        <v>28</v>
      </c>
      <c r="L69" s="5" t="s">
        <v>29</v>
      </c>
      <c r="M69" s="5" t="s">
        <v>30</v>
      </c>
      <c r="N69" s="5" t="s">
        <v>34</v>
      </c>
      <c r="O69" s="5" t="s">
        <v>7</v>
      </c>
      <c r="P69" s="5" t="s">
        <v>31</v>
      </c>
      <c r="Q69" s="5" t="s">
        <v>32</v>
      </c>
      <c r="R69" s="5" t="s">
        <v>28</v>
      </c>
      <c r="S69" s="5" t="s">
        <v>33</v>
      </c>
      <c r="T69" s="169"/>
    </row>
    <row r="70" spans="1:23" x14ac:dyDescent="0.25">
      <c r="A70" s="53" t="s">
        <v>143</v>
      </c>
      <c r="B70" s="201" t="s">
        <v>144</v>
      </c>
      <c r="C70" s="202"/>
      <c r="D70" s="202"/>
      <c r="E70" s="202"/>
      <c r="F70" s="202"/>
      <c r="G70" s="202"/>
      <c r="H70" s="202"/>
      <c r="I70" s="203"/>
      <c r="J70" s="11">
        <v>20</v>
      </c>
      <c r="K70" s="11">
        <v>0</v>
      </c>
      <c r="L70" s="11">
        <v>0</v>
      </c>
      <c r="M70" s="11">
        <v>16</v>
      </c>
      <c r="N70" s="52">
        <f>K70+L70+M70</f>
        <v>16</v>
      </c>
      <c r="O70" s="19">
        <f>P70-N70</f>
        <v>26</v>
      </c>
      <c r="P70" s="19">
        <f>ROUND(PRODUCT(J70,25)/12,0)</f>
        <v>42</v>
      </c>
      <c r="Q70" s="24"/>
      <c r="R70" s="11" t="s">
        <v>28</v>
      </c>
      <c r="S70" s="25"/>
      <c r="T70" s="11" t="s">
        <v>38</v>
      </c>
    </row>
    <row r="71" spans="1:23" x14ac:dyDescent="0.25">
      <c r="A71" s="31" t="s">
        <v>145</v>
      </c>
      <c r="B71" s="201" t="s">
        <v>147</v>
      </c>
      <c r="C71" s="202"/>
      <c r="D71" s="202"/>
      <c r="E71" s="202"/>
      <c r="F71" s="202"/>
      <c r="G71" s="202"/>
      <c r="H71" s="202"/>
      <c r="I71" s="203"/>
      <c r="J71" s="11">
        <v>6</v>
      </c>
      <c r="K71" s="11">
        <v>0</v>
      </c>
      <c r="L71" s="11">
        <v>0</v>
      </c>
      <c r="M71" s="11">
        <v>1</v>
      </c>
      <c r="N71" s="18">
        <f t="shared" ref="N71:N72" si="14">K71+L71+M71</f>
        <v>1</v>
      </c>
      <c r="O71" s="19">
        <f t="shared" ref="O71:O72" si="15">P71-N71</f>
        <v>12</v>
      </c>
      <c r="P71" s="19">
        <f t="shared" ref="P71:P72" si="16">ROUND(PRODUCT(J71,25)/12,0)</f>
        <v>13</v>
      </c>
      <c r="Q71" s="24"/>
      <c r="R71" s="11" t="s">
        <v>28</v>
      </c>
      <c r="S71" s="25"/>
      <c r="T71" s="11" t="s">
        <v>38</v>
      </c>
    </row>
    <row r="72" spans="1:23" x14ac:dyDescent="0.25">
      <c r="A72" s="31" t="s">
        <v>146</v>
      </c>
      <c r="B72" s="201" t="s">
        <v>148</v>
      </c>
      <c r="C72" s="202"/>
      <c r="D72" s="202"/>
      <c r="E72" s="202"/>
      <c r="F72" s="202"/>
      <c r="G72" s="202"/>
      <c r="H72" s="202"/>
      <c r="I72" s="203"/>
      <c r="J72" s="11">
        <v>4</v>
      </c>
      <c r="K72" s="11">
        <v>0</v>
      </c>
      <c r="L72" s="11">
        <v>0</v>
      </c>
      <c r="M72" s="11">
        <v>0</v>
      </c>
      <c r="N72" s="18">
        <f t="shared" si="14"/>
        <v>0</v>
      </c>
      <c r="O72" s="19">
        <f t="shared" si="15"/>
        <v>8</v>
      </c>
      <c r="P72" s="19">
        <f t="shared" si="16"/>
        <v>8</v>
      </c>
      <c r="Q72" s="24"/>
      <c r="R72" s="11"/>
      <c r="S72" s="25" t="s">
        <v>33</v>
      </c>
      <c r="T72" s="11" t="s">
        <v>38</v>
      </c>
    </row>
    <row r="73" spans="1:23" x14ac:dyDescent="0.25">
      <c r="A73" s="21" t="s">
        <v>25</v>
      </c>
      <c r="B73" s="95"/>
      <c r="C73" s="150"/>
      <c r="D73" s="150"/>
      <c r="E73" s="150"/>
      <c r="F73" s="150"/>
      <c r="G73" s="150"/>
      <c r="H73" s="150"/>
      <c r="I73" s="96"/>
      <c r="J73" s="21">
        <f t="shared" ref="J73:P73" si="17">SUM(J70:J72)</f>
        <v>30</v>
      </c>
      <c r="K73" s="21">
        <f t="shared" si="17"/>
        <v>0</v>
      </c>
      <c r="L73" s="21">
        <f t="shared" si="17"/>
        <v>0</v>
      </c>
      <c r="M73" s="21">
        <f t="shared" si="17"/>
        <v>17</v>
      </c>
      <c r="N73" s="21">
        <f t="shared" si="17"/>
        <v>17</v>
      </c>
      <c r="O73" s="21">
        <f t="shared" si="17"/>
        <v>46</v>
      </c>
      <c r="P73" s="21">
        <f t="shared" si="17"/>
        <v>63</v>
      </c>
      <c r="Q73" s="21">
        <f>COUNTIF(Q70:Q72,"E")</f>
        <v>0</v>
      </c>
      <c r="R73" s="21">
        <f>COUNTIF(R70:R72,"C")</f>
        <v>2</v>
      </c>
      <c r="S73" s="21">
        <f>COUNTIF(S70:S72,"VP")</f>
        <v>1</v>
      </c>
      <c r="T73" s="54">
        <f>COUNTA(T70:T72)</f>
        <v>3</v>
      </c>
      <c r="U73" s="218" t="str">
        <f>IF(Q73&gt;=SUM(R73:S73),"Corect","E trebuie să fie cel puțin egal cu C+VP")</f>
        <v>E trebuie să fie cel puțin egal cu C+VP</v>
      </c>
      <c r="V73" s="219"/>
      <c r="W73" s="219"/>
    </row>
    <row r="74" spans="1:23" ht="9" customHeight="1" x14ac:dyDescent="0.25"/>
    <row r="75" spans="1:23" x14ac:dyDescent="0.25">
      <c r="B75" s="2"/>
      <c r="C75" s="2"/>
      <c r="D75" s="2"/>
      <c r="E75" s="2"/>
      <c r="F75" s="2"/>
      <c r="G75" s="2"/>
      <c r="M75" s="8"/>
      <c r="N75" s="8"/>
      <c r="O75" s="8"/>
      <c r="P75" s="8"/>
      <c r="Q75" s="8"/>
      <c r="R75" s="8"/>
      <c r="S75" s="8"/>
    </row>
    <row r="78" spans="1:23" ht="19.5" customHeight="1" x14ac:dyDescent="0.25">
      <c r="A78" s="182" t="s">
        <v>46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</row>
    <row r="79" spans="1:23" ht="27.75" customHeight="1" x14ac:dyDescent="0.25">
      <c r="A79" s="171" t="s">
        <v>27</v>
      </c>
      <c r="B79" s="160" t="s">
        <v>26</v>
      </c>
      <c r="C79" s="161"/>
      <c r="D79" s="161"/>
      <c r="E79" s="161"/>
      <c r="F79" s="161"/>
      <c r="G79" s="161"/>
      <c r="H79" s="161"/>
      <c r="I79" s="162"/>
      <c r="J79" s="168" t="s">
        <v>40</v>
      </c>
      <c r="K79" s="155" t="s">
        <v>24</v>
      </c>
      <c r="L79" s="155"/>
      <c r="M79" s="155"/>
      <c r="N79" s="155" t="s">
        <v>41</v>
      </c>
      <c r="O79" s="170"/>
      <c r="P79" s="170"/>
      <c r="Q79" s="155" t="s">
        <v>23</v>
      </c>
      <c r="R79" s="155"/>
      <c r="S79" s="155"/>
      <c r="T79" s="155" t="s">
        <v>22</v>
      </c>
    </row>
    <row r="80" spans="1:23" ht="12.75" customHeight="1" x14ac:dyDescent="0.25">
      <c r="A80" s="172"/>
      <c r="B80" s="163"/>
      <c r="C80" s="164"/>
      <c r="D80" s="164"/>
      <c r="E80" s="164"/>
      <c r="F80" s="164"/>
      <c r="G80" s="164"/>
      <c r="H80" s="164"/>
      <c r="I80" s="165"/>
      <c r="J80" s="169"/>
      <c r="K80" s="5" t="s">
        <v>28</v>
      </c>
      <c r="L80" s="5" t="s">
        <v>29</v>
      </c>
      <c r="M80" s="5" t="s">
        <v>30</v>
      </c>
      <c r="N80" s="5" t="s">
        <v>34</v>
      </c>
      <c r="O80" s="5" t="s">
        <v>7</v>
      </c>
      <c r="P80" s="5" t="s">
        <v>31</v>
      </c>
      <c r="Q80" s="5" t="s">
        <v>32</v>
      </c>
      <c r="R80" s="5" t="s">
        <v>28</v>
      </c>
      <c r="S80" s="5" t="s">
        <v>33</v>
      </c>
      <c r="T80" s="155"/>
    </row>
    <row r="81" spans="1:20" x14ac:dyDescent="0.25">
      <c r="A81" s="211" t="s">
        <v>155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3"/>
    </row>
    <row r="82" spans="1:20" x14ac:dyDescent="0.25">
      <c r="A82" s="32" t="s">
        <v>149</v>
      </c>
      <c r="B82" s="157" t="s">
        <v>151</v>
      </c>
      <c r="C82" s="158"/>
      <c r="D82" s="158"/>
      <c r="E82" s="158"/>
      <c r="F82" s="158"/>
      <c r="G82" s="158"/>
      <c r="H82" s="158"/>
      <c r="I82" s="159"/>
      <c r="J82" s="26">
        <v>7</v>
      </c>
      <c r="K82" s="26">
        <v>2</v>
      </c>
      <c r="L82" s="26">
        <v>1</v>
      </c>
      <c r="M82" s="26">
        <v>0</v>
      </c>
      <c r="N82" s="19">
        <f>K82+L82+M82</f>
        <v>3</v>
      </c>
      <c r="O82" s="19">
        <f>P82-N82</f>
        <v>10</v>
      </c>
      <c r="P82" s="19">
        <f>ROUND(PRODUCT(J82,25)/14,0)</f>
        <v>13</v>
      </c>
      <c r="Q82" s="26" t="s">
        <v>32</v>
      </c>
      <c r="R82" s="26"/>
      <c r="S82" s="27"/>
      <c r="T82" s="11" t="s">
        <v>37</v>
      </c>
    </row>
    <row r="83" spans="1:20" x14ac:dyDescent="0.25">
      <c r="A83" s="32" t="s">
        <v>173</v>
      </c>
      <c r="B83" s="157" t="s">
        <v>152</v>
      </c>
      <c r="C83" s="158"/>
      <c r="D83" s="158"/>
      <c r="E83" s="158"/>
      <c r="F83" s="158"/>
      <c r="G83" s="158"/>
      <c r="H83" s="158"/>
      <c r="I83" s="159"/>
      <c r="J83" s="26">
        <v>7</v>
      </c>
      <c r="K83" s="26">
        <v>2</v>
      </c>
      <c r="L83" s="26">
        <v>1</v>
      </c>
      <c r="M83" s="26">
        <v>0</v>
      </c>
      <c r="N83" s="19">
        <f t="shared" ref="N83:N91" si="18">K83+L83+M83</f>
        <v>3</v>
      </c>
      <c r="O83" s="19">
        <f t="shared" ref="O83:O91" si="19">P83-N83</f>
        <v>10</v>
      </c>
      <c r="P83" s="19">
        <f t="shared" ref="P83:P87" si="20">ROUND(PRODUCT(J83,25)/14,0)</f>
        <v>13</v>
      </c>
      <c r="Q83" s="26" t="s">
        <v>32</v>
      </c>
      <c r="R83" s="26"/>
      <c r="S83" s="27"/>
      <c r="T83" s="11" t="s">
        <v>37</v>
      </c>
    </row>
    <row r="84" spans="1:20" x14ac:dyDescent="0.25">
      <c r="A84" s="34" t="s">
        <v>174</v>
      </c>
      <c r="B84" s="157" t="s">
        <v>153</v>
      </c>
      <c r="C84" s="158"/>
      <c r="D84" s="158"/>
      <c r="E84" s="158"/>
      <c r="F84" s="158"/>
      <c r="G84" s="158"/>
      <c r="H84" s="158"/>
      <c r="I84" s="159"/>
      <c r="J84" s="26">
        <v>7</v>
      </c>
      <c r="K84" s="26">
        <v>2</v>
      </c>
      <c r="L84" s="26">
        <v>1</v>
      </c>
      <c r="M84" s="26">
        <v>0</v>
      </c>
      <c r="N84" s="19">
        <f t="shared" ref="N84:N85" si="21">K84+L84+M84</f>
        <v>3</v>
      </c>
      <c r="O84" s="19">
        <f t="shared" ref="O84:O85" si="22">P84-N84</f>
        <v>10</v>
      </c>
      <c r="P84" s="19">
        <f t="shared" ref="P84:P85" si="23">ROUND(PRODUCT(J84,25)/14,0)</f>
        <v>13</v>
      </c>
      <c r="Q84" s="26" t="s">
        <v>32</v>
      </c>
      <c r="R84" s="26"/>
      <c r="S84" s="27"/>
      <c r="T84" s="11" t="s">
        <v>37</v>
      </c>
    </row>
    <row r="85" spans="1:20" x14ac:dyDescent="0.25">
      <c r="A85" s="34" t="s">
        <v>150</v>
      </c>
      <c r="B85" s="157" t="s">
        <v>154</v>
      </c>
      <c r="C85" s="158"/>
      <c r="D85" s="158"/>
      <c r="E85" s="158"/>
      <c r="F85" s="158"/>
      <c r="G85" s="158"/>
      <c r="H85" s="158"/>
      <c r="I85" s="159"/>
      <c r="J85" s="26">
        <v>7</v>
      </c>
      <c r="K85" s="26">
        <v>2</v>
      </c>
      <c r="L85" s="26">
        <v>1</v>
      </c>
      <c r="M85" s="26">
        <v>0</v>
      </c>
      <c r="N85" s="19">
        <f t="shared" si="21"/>
        <v>3</v>
      </c>
      <c r="O85" s="19">
        <f t="shared" si="22"/>
        <v>10</v>
      </c>
      <c r="P85" s="19">
        <f t="shared" si="23"/>
        <v>13</v>
      </c>
      <c r="Q85" s="26" t="s">
        <v>32</v>
      </c>
      <c r="R85" s="26"/>
      <c r="S85" s="27"/>
      <c r="T85" s="11" t="s">
        <v>37</v>
      </c>
    </row>
    <row r="86" spans="1:20" x14ac:dyDescent="0.25">
      <c r="A86" s="71" t="s">
        <v>156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7"/>
    </row>
    <row r="87" spans="1:20" x14ac:dyDescent="0.25">
      <c r="A87" s="32" t="s">
        <v>158</v>
      </c>
      <c r="B87" s="157" t="s">
        <v>164</v>
      </c>
      <c r="C87" s="158"/>
      <c r="D87" s="158"/>
      <c r="E87" s="158"/>
      <c r="F87" s="158"/>
      <c r="G87" s="158"/>
      <c r="H87" s="158"/>
      <c r="I87" s="159"/>
      <c r="J87" s="26">
        <v>7</v>
      </c>
      <c r="K87" s="26">
        <v>2</v>
      </c>
      <c r="L87" s="26">
        <v>1</v>
      </c>
      <c r="M87" s="26">
        <v>0</v>
      </c>
      <c r="N87" s="19">
        <f t="shared" si="18"/>
        <v>3</v>
      </c>
      <c r="O87" s="19">
        <f t="shared" si="19"/>
        <v>10</v>
      </c>
      <c r="P87" s="19">
        <f t="shared" si="20"/>
        <v>13</v>
      </c>
      <c r="Q87" s="26" t="s">
        <v>32</v>
      </c>
      <c r="R87" s="26"/>
      <c r="S87" s="27"/>
      <c r="T87" s="11" t="s">
        <v>38</v>
      </c>
    </row>
    <row r="88" spans="1:20" x14ac:dyDescent="0.25">
      <c r="A88" s="34" t="s">
        <v>159</v>
      </c>
      <c r="B88" s="157" t="s">
        <v>165</v>
      </c>
      <c r="C88" s="158"/>
      <c r="D88" s="158"/>
      <c r="E88" s="158"/>
      <c r="F88" s="158"/>
      <c r="G88" s="158"/>
      <c r="H88" s="158"/>
      <c r="I88" s="159"/>
      <c r="J88" s="26">
        <v>7</v>
      </c>
      <c r="K88" s="26">
        <v>2</v>
      </c>
      <c r="L88" s="26">
        <v>1</v>
      </c>
      <c r="M88" s="26">
        <v>0</v>
      </c>
      <c r="N88" s="19">
        <f t="shared" ref="N88:N89" si="24">K88+L88+M88</f>
        <v>3</v>
      </c>
      <c r="O88" s="19">
        <f t="shared" ref="O88:O89" si="25">P88-N88</f>
        <v>10</v>
      </c>
      <c r="P88" s="19">
        <f t="shared" ref="P88:P89" si="26">ROUND(PRODUCT(J88,25)/14,0)</f>
        <v>13</v>
      </c>
      <c r="Q88" s="26" t="s">
        <v>32</v>
      </c>
      <c r="R88" s="26"/>
      <c r="S88" s="27"/>
      <c r="T88" s="11" t="s">
        <v>38</v>
      </c>
    </row>
    <row r="89" spans="1:20" x14ac:dyDescent="0.25">
      <c r="A89" s="34" t="s">
        <v>160</v>
      </c>
      <c r="B89" s="157" t="s">
        <v>166</v>
      </c>
      <c r="C89" s="158"/>
      <c r="D89" s="158"/>
      <c r="E89" s="158"/>
      <c r="F89" s="158"/>
      <c r="G89" s="158"/>
      <c r="H89" s="158"/>
      <c r="I89" s="159"/>
      <c r="J89" s="26">
        <v>7</v>
      </c>
      <c r="K89" s="26">
        <v>2</v>
      </c>
      <c r="L89" s="26">
        <v>1</v>
      </c>
      <c r="M89" s="26">
        <v>0</v>
      </c>
      <c r="N89" s="19">
        <f t="shared" si="24"/>
        <v>3</v>
      </c>
      <c r="O89" s="19">
        <f t="shared" si="25"/>
        <v>10</v>
      </c>
      <c r="P89" s="19">
        <f t="shared" si="26"/>
        <v>13</v>
      </c>
      <c r="Q89" s="26" t="s">
        <v>32</v>
      </c>
      <c r="R89" s="26"/>
      <c r="S89" s="27"/>
      <c r="T89" s="11" t="s">
        <v>38</v>
      </c>
    </row>
    <row r="90" spans="1:20" x14ac:dyDescent="0.25">
      <c r="A90" s="71" t="s">
        <v>157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7"/>
    </row>
    <row r="91" spans="1:20" x14ac:dyDescent="0.25">
      <c r="A91" s="32" t="s">
        <v>161</v>
      </c>
      <c r="B91" s="157" t="s">
        <v>167</v>
      </c>
      <c r="C91" s="158"/>
      <c r="D91" s="158"/>
      <c r="E91" s="158"/>
      <c r="F91" s="158"/>
      <c r="G91" s="158"/>
      <c r="H91" s="158"/>
      <c r="I91" s="159"/>
      <c r="J91" s="26">
        <v>7</v>
      </c>
      <c r="K91" s="26">
        <v>2</v>
      </c>
      <c r="L91" s="26">
        <v>1</v>
      </c>
      <c r="M91" s="26">
        <v>0</v>
      </c>
      <c r="N91" s="19">
        <f t="shared" si="18"/>
        <v>3</v>
      </c>
      <c r="O91" s="19">
        <f t="shared" si="19"/>
        <v>12</v>
      </c>
      <c r="P91" s="19">
        <f t="shared" ref="P91:P93" si="27">ROUND(PRODUCT(J91,25)/12,0)</f>
        <v>15</v>
      </c>
      <c r="Q91" s="26" t="s">
        <v>32</v>
      </c>
      <c r="R91" s="26"/>
      <c r="S91" s="27"/>
      <c r="T91" s="11" t="s">
        <v>38</v>
      </c>
    </row>
    <row r="92" spans="1:20" x14ac:dyDescent="0.25">
      <c r="A92" s="34" t="s">
        <v>162</v>
      </c>
      <c r="B92" s="157" t="s">
        <v>168</v>
      </c>
      <c r="C92" s="158"/>
      <c r="D92" s="158"/>
      <c r="E92" s="158"/>
      <c r="F92" s="158"/>
      <c r="G92" s="158"/>
      <c r="H92" s="158"/>
      <c r="I92" s="159"/>
      <c r="J92" s="26">
        <v>7</v>
      </c>
      <c r="K92" s="26">
        <v>2</v>
      </c>
      <c r="L92" s="26">
        <v>1</v>
      </c>
      <c r="M92" s="26">
        <v>0</v>
      </c>
      <c r="N92" s="19">
        <f t="shared" ref="N92:N93" si="28">K92+L92+M92</f>
        <v>3</v>
      </c>
      <c r="O92" s="19">
        <f t="shared" ref="O92:O93" si="29">P92-N92</f>
        <v>12</v>
      </c>
      <c r="P92" s="19">
        <f t="shared" si="27"/>
        <v>15</v>
      </c>
      <c r="Q92" s="26" t="s">
        <v>32</v>
      </c>
      <c r="R92" s="26"/>
      <c r="S92" s="27"/>
      <c r="T92" s="11" t="s">
        <v>38</v>
      </c>
    </row>
    <row r="93" spans="1:20" x14ac:dyDescent="0.25">
      <c r="A93" s="34" t="s">
        <v>163</v>
      </c>
      <c r="B93" s="157" t="s">
        <v>169</v>
      </c>
      <c r="C93" s="158"/>
      <c r="D93" s="158"/>
      <c r="E93" s="158"/>
      <c r="F93" s="158"/>
      <c r="G93" s="158"/>
      <c r="H93" s="158"/>
      <c r="I93" s="159"/>
      <c r="J93" s="26">
        <v>7</v>
      </c>
      <c r="K93" s="26">
        <v>2</v>
      </c>
      <c r="L93" s="26">
        <v>1</v>
      </c>
      <c r="M93" s="26">
        <v>0</v>
      </c>
      <c r="N93" s="19">
        <f t="shared" si="28"/>
        <v>3</v>
      </c>
      <c r="O93" s="19">
        <f t="shared" si="29"/>
        <v>12</v>
      </c>
      <c r="P93" s="19">
        <f t="shared" si="27"/>
        <v>15</v>
      </c>
      <c r="Q93" s="26" t="s">
        <v>32</v>
      </c>
      <c r="R93" s="26"/>
      <c r="S93" s="27"/>
      <c r="T93" s="11" t="s">
        <v>38</v>
      </c>
    </row>
    <row r="94" spans="1:20" ht="11.25" hidden="1" customHeight="1" x14ac:dyDescent="0.25">
      <c r="A94" s="71" t="s">
        <v>171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3"/>
    </row>
    <row r="95" spans="1:20" ht="13.5" hidden="1" customHeight="1" x14ac:dyDescent="0.25">
      <c r="A95" s="34"/>
      <c r="B95" s="214"/>
      <c r="C95" s="214"/>
      <c r="D95" s="214"/>
      <c r="E95" s="214"/>
      <c r="F95" s="214"/>
      <c r="G95" s="214"/>
      <c r="H95" s="214"/>
      <c r="I95" s="214"/>
      <c r="J95" s="26">
        <v>0</v>
      </c>
      <c r="K95" s="26">
        <v>0</v>
      </c>
      <c r="L95" s="26">
        <v>0</v>
      </c>
      <c r="M95" s="26">
        <v>0</v>
      </c>
      <c r="N95" s="19">
        <f t="shared" ref="N95" si="30">K95+L95+M95</f>
        <v>0</v>
      </c>
      <c r="O95" s="19">
        <f t="shared" ref="O95" si="31">P95-N95</f>
        <v>0</v>
      </c>
      <c r="P95" s="19">
        <f t="shared" ref="P95" si="32">ROUND(PRODUCT(J95,25)/12,0)</f>
        <v>0</v>
      </c>
      <c r="Q95" s="26"/>
      <c r="R95" s="26"/>
      <c r="S95" s="27"/>
      <c r="T95" s="11"/>
    </row>
    <row r="96" spans="1:20" x14ac:dyDescent="0.25">
      <c r="A96" s="128" t="s">
        <v>73</v>
      </c>
      <c r="B96" s="129"/>
      <c r="C96" s="129"/>
      <c r="D96" s="129"/>
      <c r="E96" s="129"/>
      <c r="F96" s="129"/>
      <c r="G96" s="129"/>
      <c r="H96" s="129"/>
      <c r="I96" s="130"/>
      <c r="J96" s="23">
        <f>SUM(J82,J87,J91, J95)</f>
        <v>21</v>
      </c>
      <c r="K96" s="23">
        <f t="shared" ref="K96:P96" si="33">SUM(K82,K87,K91,K95)</f>
        <v>6</v>
      </c>
      <c r="L96" s="23">
        <f t="shared" si="33"/>
        <v>3</v>
      </c>
      <c r="M96" s="23">
        <f t="shared" si="33"/>
        <v>0</v>
      </c>
      <c r="N96" s="23">
        <f t="shared" si="33"/>
        <v>9</v>
      </c>
      <c r="O96" s="23">
        <f t="shared" si="33"/>
        <v>32</v>
      </c>
      <c r="P96" s="23">
        <f t="shared" si="33"/>
        <v>41</v>
      </c>
      <c r="Q96" s="23">
        <f>COUNTIF(Q82,"E")+COUNTIF(Q87,"E")+COUNTIF(Q91,"E")+COUNTIF(Q95,"E")</f>
        <v>3</v>
      </c>
      <c r="R96" s="23">
        <f>COUNTIF(R82,"C")+COUNTIF(R87,"C")+COUNTIF(R91,"C")+COUNTIF(R95,"C")</f>
        <v>0</v>
      </c>
      <c r="S96" s="23">
        <f>COUNTIF(S82,"VP")+COUNTIF(S87,"VP")+COUNTIF(S91,"VP")+COUNTIF(S95,"VP")</f>
        <v>0</v>
      </c>
      <c r="T96" s="28"/>
    </row>
    <row r="97" spans="1:20" x14ac:dyDescent="0.25">
      <c r="A97" s="137" t="s">
        <v>48</v>
      </c>
      <c r="B97" s="138"/>
      <c r="C97" s="138"/>
      <c r="D97" s="138"/>
      <c r="E97" s="138"/>
      <c r="F97" s="138"/>
      <c r="G97" s="138"/>
      <c r="H97" s="138"/>
      <c r="I97" s="138"/>
      <c r="J97" s="139"/>
      <c r="K97" s="23">
        <f t="shared" ref="K97:P97" si="34">SUM(K82,K87,K91)*14+K95*12</f>
        <v>84</v>
      </c>
      <c r="L97" s="23">
        <f t="shared" si="34"/>
        <v>42</v>
      </c>
      <c r="M97" s="23">
        <f t="shared" si="34"/>
        <v>0</v>
      </c>
      <c r="N97" s="23">
        <f t="shared" si="34"/>
        <v>126</v>
      </c>
      <c r="O97" s="23">
        <f t="shared" si="34"/>
        <v>448</v>
      </c>
      <c r="P97" s="23">
        <f t="shared" si="34"/>
        <v>574</v>
      </c>
      <c r="Q97" s="143"/>
      <c r="R97" s="144"/>
      <c r="S97" s="144"/>
      <c r="T97" s="145"/>
    </row>
    <row r="98" spans="1:20" s="55" customFormat="1" x14ac:dyDescent="0.25">
      <c r="A98" s="140"/>
      <c r="B98" s="141"/>
      <c r="C98" s="141"/>
      <c r="D98" s="141"/>
      <c r="E98" s="141"/>
      <c r="F98" s="141"/>
      <c r="G98" s="141"/>
      <c r="H98" s="141"/>
      <c r="I98" s="141"/>
      <c r="J98" s="142"/>
      <c r="K98" s="131">
        <f>SUM(K97:M97)</f>
        <v>126</v>
      </c>
      <c r="L98" s="132"/>
      <c r="M98" s="133"/>
      <c r="N98" s="134">
        <f>SUM(N97:O97)</f>
        <v>574</v>
      </c>
      <c r="O98" s="135"/>
      <c r="P98" s="136"/>
      <c r="Q98" s="146"/>
      <c r="R98" s="147"/>
      <c r="S98" s="147"/>
      <c r="T98" s="148"/>
    </row>
    <row r="99" spans="1:20" s="55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4"/>
      <c r="O99" s="14"/>
      <c r="P99" s="14"/>
      <c r="Q99" s="15"/>
      <c r="R99" s="15"/>
      <c r="S99" s="15"/>
      <c r="T99" s="15"/>
    </row>
    <row r="100" spans="1:20" s="55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4"/>
      <c r="O100" s="14"/>
      <c r="P100" s="14"/>
      <c r="Q100" s="15"/>
      <c r="R100" s="15"/>
      <c r="S100" s="15"/>
      <c r="T100" s="15"/>
    </row>
    <row r="101" spans="1:2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4"/>
      <c r="O101" s="14"/>
      <c r="P101" s="14"/>
      <c r="Q101" s="15"/>
      <c r="R101" s="15"/>
      <c r="S101" s="15"/>
      <c r="T101" s="15"/>
    </row>
    <row r="102" spans="1:20" ht="24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4"/>
      <c r="O102" s="14"/>
      <c r="P102" s="14"/>
      <c r="Q102" s="15"/>
      <c r="R102" s="15"/>
      <c r="S102" s="15"/>
      <c r="T102" s="15"/>
    </row>
    <row r="103" spans="1:20" ht="16.5" customHeight="1" x14ac:dyDescent="0.25">
      <c r="B103" s="2"/>
      <c r="C103" s="2"/>
      <c r="D103" s="2"/>
      <c r="E103" s="2"/>
      <c r="F103" s="2"/>
      <c r="G103" s="2"/>
      <c r="M103" s="8"/>
      <c r="N103" s="8"/>
      <c r="O103" s="8"/>
      <c r="P103" s="8"/>
      <c r="Q103" s="8"/>
      <c r="R103" s="8"/>
      <c r="S103" s="8"/>
    </row>
    <row r="104" spans="1:20" ht="34.5" customHeight="1" x14ac:dyDescent="0.25">
      <c r="A104" s="164" t="s">
        <v>49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</row>
    <row r="105" spans="1:20" x14ac:dyDescent="0.25">
      <c r="A105" s="95" t="s">
        <v>50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96"/>
    </row>
    <row r="106" spans="1:20" ht="17.25" customHeight="1" x14ac:dyDescent="0.25">
      <c r="A106" s="126" t="s">
        <v>27</v>
      </c>
      <c r="B106" s="126" t="s">
        <v>26</v>
      </c>
      <c r="C106" s="126"/>
      <c r="D106" s="126"/>
      <c r="E106" s="126"/>
      <c r="F106" s="126"/>
      <c r="G106" s="126"/>
      <c r="H106" s="126"/>
      <c r="I106" s="126"/>
      <c r="J106" s="94" t="s">
        <v>40</v>
      </c>
      <c r="K106" s="94" t="s">
        <v>24</v>
      </c>
      <c r="L106" s="94"/>
      <c r="M106" s="94"/>
      <c r="N106" s="94" t="s">
        <v>41</v>
      </c>
      <c r="O106" s="94"/>
      <c r="P106" s="94"/>
      <c r="Q106" s="94" t="s">
        <v>23</v>
      </c>
      <c r="R106" s="94"/>
      <c r="S106" s="94"/>
      <c r="T106" s="94" t="s">
        <v>22</v>
      </c>
    </row>
    <row r="107" spans="1:20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94"/>
      <c r="K107" s="30" t="s">
        <v>28</v>
      </c>
      <c r="L107" s="30" t="s">
        <v>29</v>
      </c>
      <c r="M107" s="30" t="s">
        <v>30</v>
      </c>
      <c r="N107" s="30" t="s">
        <v>34</v>
      </c>
      <c r="O107" s="30" t="s">
        <v>7</v>
      </c>
      <c r="P107" s="30" t="s">
        <v>31</v>
      </c>
      <c r="Q107" s="30" t="s">
        <v>32</v>
      </c>
      <c r="R107" s="30" t="s">
        <v>28</v>
      </c>
      <c r="S107" s="30" t="s">
        <v>33</v>
      </c>
      <c r="T107" s="94"/>
    </row>
    <row r="108" spans="1:20" x14ac:dyDescent="0.25">
      <c r="A108" s="95" t="s">
        <v>62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96"/>
    </row>
    <row r="109" spans="1:20" x14ac:dyDescent="0.25">
      <c r="A109" s="33" t="str">
        <f t="shared" ref="A109:A115" si="35">IF(ISNA(INDEX($A$37:$T$103,MATCH($B109,$B$37:$B$103,0),1)),"",INDEX($A$37:$T$103,MATCH($B109,$B$37:$B$103,0),1))</f>
        <v>MMG9001</v>
      </c>
      <c r="B109" s="127" t="s">
        <v>112</v>
      </c>
      <c r="C109" s="127"/>
      <c r="D109" s="127"/>
      <c r="E109" s="127"/>
      <c r="F109" s="127"/>
      <c r="G109" s="127"/>
      <c r="H109" s="127"/>
      <c r="I109" s="127"/>
      <c r="J109" s="19">
        <f t="shared" ref="J109:J115" si="36">IF(ISNA(INDEX($A$37:$T$103,MATCH($B109,$B$37:$B$103,0),10)),"",INDEX($A$37:$T$103,MATCH($B109,$B$37:$B$103,0),10))</f>
        <v>4</v>
      </c>
      <c r="K109" s="19">
        <f t="shared" ref="K109:K115" si="37">IF(ISNA(INDEX($A$37:$T$103,MATCH($B109,$B$37:$B$103,0),11)),"",INDEX($A$37:$T$103,MATCH($B109,$B$37:$B$103,0),11))</f>
        <v>2</v>
      </c>
      <c r="L109" s="19">
        <f t="shared" ref="L109:L115" si="38">IF(ISNA(INDEX($A$37:$T$103,MATCH($B109,$B$37:$B$103,0),12)),"",INDEX($A$37:$T$103,MATCH($B109,$B$37:$B$103,0),12))</f>
        <v>1</v>
      </c>
      <c r="M109" s="19">
        <f t="shared" ref="M109:M115" si="39">IF(ISNA(INDEX($A$37:$T$103,MATCH($B109,$B$37:$B$103,0),13)),"",INDEX($A$37:$T$103,MATCH($B109,$B$37:$B$103,0),13))</f>
        <v>0</v>
      </c>
      <c r="N109" s="19">
        <f t="shared" ref="N109:N115" si="40">IF(ISNA(INDEX($A$37:$T$103,MATCH($B109,$B$37:$B$103,0),14)),"",INDEX($A$37:$T$103,MATCH($B109,$B$37:$B$103,0),14))</f>
        <v>3</v>
      </c>
      <c r="O109" s="19">
        <f t="shared" ref="O109:O115" si="41">IF(ISNA(INDEX($A$37:$T$103,MATCH($B109,$B$37:$B$103,0),15)),"",INDEX($A$37:$T$103,MATCH($B109,$B$37:$B$103,0),15))</f>
        <v>4</v>
      </c>
      <c r="P109" s="19">
        <f t="shared" ref="P109:P115" si="42">IF(ISNA(INDEX($A$37:$T$103,MATCH($B109,$B$37:$B$103,0),16)),"",INDEX($A$37:$T$103,MATCH($B109,$B$37:$B$103,0),16))</f>
        <v>7</v>
      </c>
      <c r="Q109" s="29">
        <f t="shared" ref="Q109:Q115" si="43">IF(ISNA(INDEX($A$37:$T$103,MATCH($B109,$B$37:$B$103,0),17)),"",INDEX($A$37:$T$103,MATCH($B109,$B$37:$B$103,0),17))</f>
        <v>0</v>
      </c>
      <c r="R109" s="29" t="str">
        <f t="shared" ref="R109:R115" si="44">IF(ISNA(INDEX($A$37:$T$103,MATCH($B109,$B$37:$B$103,0),18)),"",INDEX($A$37:$T$103,MATCH($B109,$B$37:$B$103,0),18))</f>
        <v>C</v>
      </c>
      <c r="S109" s="29">
        <f t="shared" ref="S109:S115" si="45">IF(ISNA(INDEX($A$37:$T$103,MATCH($B109,$B$37:$B$103,0),19)),"",INDEX($A$37:$T$103,MATCH($B109,$B$37:$B$103,0),19))</f>
        <v>0</v>
      </c>
      <c r="T109" s="20" t="s">
        <v>37</v>
      </c>
    </row>
    <row r="110" spans="1:20" x14ac:dyDescent="0.25">
      <c r="A110" s="33" t="str">
        <f t="shared" si="35"/>
        <v>MMG8143</v>
      </c>
      <c r="B110" s="127" t="s">
        <v>120</v>
      </c>
      <c r="C110" s="127"/>
      <c r="D110" s="127"/>
      <c r="E110" s="127"/>
      <c r="F110" s="127"/>
      <c r="G110" s="127"/>
      <c r="H110" s="127"/>
      <c r="I110" s="127"/>
      <c r="J110" s="19">
        <f t="shared" si="36"/>
        <v>7</v>
      </c>
      <c r="K110" s="19">
        <f t="shared" si="37"/>
        <v>2</v>
      </c>
      <c r="L110" s="19">
        <f t="shared" si="38"/>
        <v>1</v>
      </c>
      <c r="M110" s="19">
        <f t="shared" si="39"/>
        <v>0</v>
      </c>
      <c r="N110" s="19">
        <f t="shared" si="40"/>
        <v>3</v>
      </c>
      <c r="O110" s="19">
        <f t="shared" si="41"/>
        <v>10</v>
      </c>
      <c r="P110" s="19">
        <f t="shared" si="42"/>
        <v>13</v>
      </c>
      <c r="Q110" s="29" t="str">
        <f t="shared" si="43"/>
        <v>E</v>
      </c>
      <c r="R110" s="29">
        <f t="shared" si="44"/>
        <v>0</v>
      </c>
      <c r="S110" s="29">
        <f t="shared" si="45"/>
        <v>0</v>
      </c>
      <c r="T110" s="20" t="s">
        <v>37</v>
      </c>
    </row>
    <row r="111" spans="1:20" x14ac:dyDescent="0.25">
      <c r="A111" s="33" t="str">
        <f t="shared" si="35"/>
        <v>MMX9701</v>
      </c>
      <c r="B111" s="127" t="s">
        <v>123</v>
      </c>
      <c r="C111" s="127"/>
      <c r="D111" s="127"/>
      <c r="E111" s="127"/>
      <c r="F111" s="127"/>
      <c r="G111" s="127"/>
      <c r="H111" s="127"/>
      <c r="I111" s="127"/>
      <c r="J111" s="19">
        <f t="shared" si="36"/>
        <v>7</v>
      </c>
      <c r="K111" s="19">
        <f t="shared" si="37"/>
        <v>2</v>
      </c>
      <c r="L111" s="19">
        <f t="shared" si="38"/>
        <v>1</v>
      </c>
      <c r="M111" s="19">
        <f t="shared" si="39"/>
        <v>0</v>
      </c>
      <c r="N111" s="19">
        <f t="shared" si="40"/>
        <v>3</v>
      </c>
      <c r="O111" s="19">
        <f t="shared" si="41"/>
        <v>10</v>
      </c>
      <c r="P111" s="19">
        <f t="shared" si="42"/>
        <v>13</v>
      </c>
      <c r="Q111" s="29" t="str">
        <f t="shared" si="43"/>
        <v>E</v>
      </c>
      <c r="R111" s="29">
        <f t="shared" si="44"/>
        <v>0</v>
      </c>
      <c r="S111" s="29">
        <f t="shared" si="45"/>
        <v>0</v>
      </c>
      <c r="T111" s="20" t="s">
        <v>37</v>
      </c>
    </row>
    <row r="112" spans="1:20" x14ac:dyDescent="0.25">
      <c r="A112" s="33" t="str">
        <f t="shared" si="35"/>
        <v>MMG8065</v>
      </c>
      <c r="B112" s="127" t="s">
        <v>129</v>
      </c>
      <c r="C112" s="127"/>
      <c r="D112" s="127"/>
      <c r="E112" s="127"/>
      <c r="F112" s="127"/>
      <c r="G112" s="127"/>
      <c r="H112" s="127"/>
      <c r="I112" s="127"/>
      <c r="J112" s="19">
        <f t="shared" si="36"/>
        <v>7</v>
      </c>
      <c r="K112" s="19">
        <f t="shared" si="37"/>
        <v>2</v>
      </c>
      <c r="L112" s="19">
        <f t="shared" si="38"/>
        <v>1</v>
      </c>
      <c r="M112" s="19">
        <f t="shared" si="39"/>
        <v>0</v>
      </c>
      <c r="N112" s="19">
        <f t="shared" si="40"/>
        <v>3</v>
      </c>
      <c r="O112" s="19">
        <f t="shared" si="41"/>
        <v>10</v>
      </c>
      <c r="P112" s="19">
        <f t="shared" si="42"/>
        <v>13</v>
      </c>
      <c r="Q112" s="29" t="str">
        <f t="shared" si="43"/>
        <v>E</v>
      </c>
      <c r="R112" s="29">
        <f t="shared" si="44"/>
        <v>0</v>
      </c>
      <c r="S112" s="29">
        <f t="shared" si="45"/>
        <v>0</v>
      </c>
      <c r="T112" s="20" t="s">
        <v>37</v>
      </c>
    </row>
    <row r="113" spans="1:20" x14ac:dyDescent="0.25">
      <c r="A113" s="33" t="str">
        <f t="shared" si="35"/>
        <v>MMG8154</v>
      </c>
      <c r="B113" s="127" t="s">
        <v>130</v>
      </c>
      <c r="C113" s="127"/>
      <c r="D113" s="127"/>
      <c r="E113" s="127"/>
      <c r="F113" s="127"/>
      <c r="G113" s="127"/>
      <c r="H113" s="127"/>
      <c r="I113" s="127"/>
      <c r="J113" s="19">
        <f t="shared" si="36"/>
        <v>6</v>
      </c>
      <c r="K113" s="19">
        <f t="shared" si="37"/>
        <v>2</v>
      </c>
      <c r="L113" s="19">
        <f t="shared" si="38"/>
        <v>1</v>
      </c>
      <c r="M113" s="19">
        <f t="shared" si="39"/>
        <v>0</v>
      </c>
      <c r="N113" s="19">
        <f t="shared" si="40"/>
        <v>3</v>
      </c>
      <c r="O113" s="19">
        <f t="shared" si="41"/>
        <v>8</v>
      </c>
      <c r="P113" s="19">
        <f t="shared" si="42"/>
        <v>11</v>
      </c>
      <c r="Q113" s="29" t="str">
        <f t="shared" si="43"/>
        <v>E</v>
      </c>
      <c r="R113" s="29">
        <f t="shared" si="44"/>
        <v>0</v>
      </c>
      <c r="S113" s="29">
        <f t="shared" si="45"/>
        <v>0</v>
      </c>
      <c r="T113" s="20" t="s">
        <v>37</v>
      </c>
    </row>
    <row r="114" spans="1:20" x14ac:dyDescent="0.25">
      <c r="A114" s="33" t="str">
        <f t="shared" si="35"/>
        <v>MMG8156</v>
      </c>
      <c r="B114" s="127" t="s">
        <v>139</v>
      </c>
      <c r="C114" s="127"/>
      <c r="D114" s="127"/>
      <c r="E114" s="127"/>
      <c r="F114" s="127"/>
      <c r="G114" s="127"/>
      <c r="H114" s="127"/>
      <c r="I114" s="127"/>
      <c r="J114" s="19">
        <f t="shared" si="36"/>
        <v>8</v>
      </c>
      <c r="K114" s="19">
        <f t="shared" si="37"/>
        <v>2</v>
      </c>
      <c r="L114" s="19">
        <f t="shared" si="38"/>
        <v>1</v>
      </c>
      <c r="M114" s="19">
        <f t="shared" si="39"/>
        <v>0</v>
      </c>
      <c r="N114" s="19">
        <f t="shared" si="40"/>
        <v>3</v>
      </c>
      <c r="O114" s="19">
        <f t="shared" si="41"/>
        <v>11</v>
      </c>
      <c r="P114" s="19">
        <f t="shared" si="42"/>
        <v>14</v>
      </c>
      <c r="Q114" s="29" t="str">
        <f t="shared" si="43"/>
        <v>E</v>
      </c>
      <c r="R114" s="29">
        <f t="shared" si="44"/>
        <v>0</v>
      </c>
      <c r="S114" s="29">
        <f t="shared" si="45"/>
        <v>0</v>
      </c>
      <c r="T114" s="20" t="s">
        <v>37</v>
      </c>
    </row>
    <row r="115" spans="1:20" ht="17.25" customHeight="1" x14ac:dyDescent="0.25">
      <c r="A115" s="33" t="str">
        <f t="shared" si="35"/>
        <v>MMG8157</v>
      </c>
      <c r="B115" s="127" t="s">
        <v>140</v>
      </c>
      <c r="C115" s="127"/>
      <c r="D115" s="127"/>
      <c r="E115" s="127"/>
      <c r="F115" s="127"/>
      <c r="G115" s="127"/>
      <c r="H115" s="127"/>
      <c r="I115" s="127"/>
      <c r="J115" s="19">
        <f t="shared" si="36"/>
        <v>8</v>
      </c>
      <c r="K115" s="19">
        <f t="shared" si="37"/>
        <v>2</v>
      </c>
      <c r="L115" s="19">
        <f t="shared" si="38"/>
        <v>1</v>
      </c>
      <c r="M115" s="19">
        <f t="shared" si="39"/>
        <v>0</v>
      </c>
      <c r="N115" s="19">
        <f t="shared" si="40"/>
        <v>3</v>
      </c>
      <c r="O115" s="19">
        <f t="shared" si="41"/>
        <v>11</v>
      </c>
      <c r="P115" s="19">
        <f t="shared" si="42"/>
        <v>14</v>
      </c>
      <c r="Q115" s="29" t="str">
        <f t="shared" si="43"/>
        <v>E</v>
      </c>
      <c r="R115" s="29">
        <f t="shared" si="44"/>
        <v>0</v>
      </c>
      <c r="S115" s="29">
        <f t="shared" si="45"/>
        <v>0</v>
      </c>
      <c r="T115" s="20" t="s">
        <v>37</v>
      </c>
    </row>
    <row r="116" spans="1:20" x14ac:dyDescent="0.25">
      <c r="A116" s="21" t="s">
        <v>25</v>
      </c>
      <c r="B116" s="151"/>
      <c r="C116" s="152"/>
      <c r="D116" s="152"/>
      <c r="E116" s="152"/>
      <c r="F116" s="152"/>
      <c r="G116" s="152"/>
      <c r="H116" s="152"/>
      <c r="I116" s="153"/>
      <c r="J116" s="23">
        <f>IF(ISNA(SUM(J109:J115)),"",SUM(J109:J115))</f>
        <v>47</v>
      </c>
      <c r="K116" s="23">
        <f t="shared" ref="K116:P116" si="46">SUM(K109:K115)</f>
        <v>14</v>
      </c>
      <c r="L116" s="23">
        <f t="shared" si="46"/>
        <v>7</v>
      </c>
      <c r="M116" s="23">
        <f t="shared" si="46"/>
        <v>0</v>
      </c>
      <c r="N116" s="23">
        <f t="shared" si="46"/>
        <v>21</v>
      </c>
      <c r="O116" s="23">
        <f t="shared" si="46"/>
        <v>64</v>
      </c>
      <c r="P116" s="23">
        <f t="shared" si="46"/>
        <v>85</v>
      </c>
      <c r="Q116" s="21">
        <f>COUNTIF(Q109:Q115,"E")</f>
        <v>6</v>
      </c>
      <c r="R116" s="21">
        <f>COUNTIF(R109:R115,"C")</f>
        <v>1</v>
      </c>
      <c r="S116" s="21">
        <f>COUNTIF(S109:S115,"VP")</f>
        <v>0</v>
      </c>
      <c r="T116" s="20"/>
    </row>
    <row r="117" spans="1:20" x14ac:dyDescent="0.25">
      <c r="A117" s="95" t="s">
        <v>63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96"/>
    </row>
    <row r="118" spans="1:20" ht="27" customHeight="1" x14ac:dyDescent="0.25">
      <c r="A118" s="33" t="str">
        <f>IF(ISNA(INDEX($A$37:$T$103,MATCH($B118,$B$37:$B$103,0),1)),"",INDEX($A$37:$T$103,MATCH($B118,$B$37:$B$103,0),1))</f>
        <v/>
      </c>
      <c r="B118" s="232"/>
      <c r="C118" s="233"/>
      <c r="D118" s="233"/>
      <c r="E118" s="233"/>
      <c r="F118" s="233"/>
      <c r="G118" s="233"/>
      <c r="H118" s="233"/>
      <c r="I118" s="234"/>
      <c r="J118" s="19" t="str">
        <f>IF(ISNA(INDEX($A$37:$T$103,MATCH($B118,$B$37:$B$103,0),10)),"",INDEX($A$37:$T$103,MATCH($B118,$B$37:$B$103,0),10))</f>
        <v/>
      </c>
      <c r="K118" s="19" t="str">
        <f>IF(ISNA(INDEX($A$37:$T$103,MATCH($B118,$B$37:$B$103,0),11)),"",INDEX($A$37:$T$103,MATCH($B118,$B$37:$B$103,0),11))</f>
        <v/>
      </c>
      <c r="L118" s="19" t="str">
        <f>IF(ISNA(INDEX($A$37:$T$103,MATCH($B118,$B$37:$B$103,0),12)),"",INDEX($A$37:$T$103,MATCH($B118,$B$37:$B$103,0),12))</f>
        <v/>
      </c>
      <c r="M118" s="19" t="str">
        <f>IF(ISNA(INDEX($A$37:$T$103,MATCH($B118,$B$37:$B$103,0),13)),"",INDEX($A$37:$T$103,MATCH($B118,$B$37:$B$103,0),13))</f>
        <v/>
      </c>
      <c r="N118" s="19" t="str">
        <f>IF(ISNA(INDEX($A$37:$T$103,MATCH($B118,$B$37:$B$103,0),14)),"",INDEX($A$37:$T$103,MATCH($B118,$B$37:$B$103,0),14))</f>
        <v/>
      </c>
      <c r="O118" s="19" t="str">
        <f>IF(ISNA(INDEX($A$37:$T$103,MATCH($B118,$B$37:$B$103,0),15)),"",INDEX($A$37:$T$103,MATCH($B118,$B$37:$B$103,0),15))</f>
        <v/>
      </c>
      <c r="P118" s="19" t="str">
        <f>IF(ISNA(INDEX($A$37:$T$103,MATCH($B118,$B$37:$B$103,0),16)),"",INDEX($A$37:$T$103,MATCH($B118,$B$37:$B$103,0),16))</f>
        <v/>
      </c>
      <c r="Q118" s="29" t="str">
        <f>IF(ISNA(INDEX($A$37:$T$103,MATCH($B118,$B$37:$B$103,0),17)),"",INDEX($A$37:$T$103,MATCH($B118,$B$37:$B$103,0),17))</f>
        <v/>
      </c>
      <c r="R118" s="29" t="str">
        <f>IF(ISNA(INDEX($A$37:$T$103,MATCH($B118,$B$37:$B$103,0),18)),"",INDEX($A$37:$T$103,MATCH($B118,$B$37:$B$103,0),18))</f>
        <v/>
      </c>
      <c r="S118" s="29" t="str">
        <f>IF(ISNA(INDEX($A$37:$T$103,MATCH($B118,$B$37:$B$103,0),19)),"",INDEX($A$37:$T$103,MATCH($B118,$B$37:$B$103,0),19))</f>
        <v/>
      </c>
      <c r="T118" s="20" t="s">
        <v>37</v>
      </c>
    </row>
    <row r="119" spans="1:20" x14ac:dyDescent="0.25">
      <c r="A119" s="21" t="s">
        <v>25</v>
      </c>
      <c r="B119" s="126"/>
      <c r="C119" s="126"/>
      <c r="D119" s="126"/>
      <c r="E119" s="126"/>
      <c r="F119" s="126"/>
      <c r="G119" s="126"/>
      <c r="H119" s="126"/>
      <c r="I119" s="126"/>
      <c r="J119" s="23">
        <f t="shared" ref="J119:P119" si="47">SUM(J118:J118)</f>
        <v>0</v>
      </c>
      <c r="K119" s="23">
        <f t="shared" si="47"/>
        <v>0</v>
      </c>
      <c r="L119" s="23">
        <f t="shared" si="47"/>
        <v>0</v>
      </c>
      <c r="M119" s="23">
        <f t="shared" si="47"/>
        <v>0</v>
      </c>
      <c r="N119" s="23">
        <f t="shared" si="47"/>
        <v>0</v>
      </c>
      <c r="O119" s="23">
        <f t="shared" si="47"/>
        <v>0</v>
      </c>
      <c r="P119" s="23">
        <f t="shared" si="47"/>
        <v>0</v>
      </c>
      <c r="Q119" s="21">
        <f>COUNTIF(Q118:Q118,"E")</f>
        <v>0</v>
      </c>
      <c r="R119" s="21">
        <f>COUNTIF(R118:R118,"C")</f>
        <v>0</v>
      </c>
      <c r="S119" s="21">
        <f>COUNTIF(S118:S118,"VP")</f>
        <v>0</v>
      </c>
      <c r="T119" s="22"/>
    </row>
    <row r="120" spans="1:20" x14ac:dyDescent="0.25">
      <c r="A120" s="128" t="s">
        <v>73</v>
      </c>
      <c r="B120" s="129"/>
      <c r="C120" s="129"/>
      <c r="D120" s="129"/>
      <c r="E120" s="129"/>
      <c r="F120" s="129"/>
      <c r="G120" s="129"/>
      <c r="H120" s="129"/>
      <c r="I120" s="130"/>
      <c r="J120" s="23">
        <f t="shared" ref="J120:S120" si="48">SUM(J116,J119)</f>
        <v>47</v>
      </c>
      <c r="K120" s="23">
        <f t="shared" si="48"/>
        <v>14</v>
      </c>
      <c r="L120" s="23">
        <f t="shared" si="48"/>
        <v>7</v>
      </c>
      <c r="M120" s="23">
        <f t="shared" si="48"/>
        <v>0</v>
      </c>
      <c r="N120" s="23">
        <f t="shared" si="48"/>
        <v>21</v>
      </c>
      <c r="O120" s="23">
        <f t="shared" si="48"/>
        <v>64</v>
      </c>
      <c r="P120" s="23">
        <f t="shared" si="48"/>
        <v>85</v>
      </c>
      <c r="Q120" s="23">
        <f t="shared" si="48"/>
        <v>6</v>
      </c>
      <c r="R120" s="23">
        <f t="shared" si="48"/>
        <v>1</v>
      </c>
      <c r="S120" s="23">
        <f t="shared" si="48"/>
        <v>0</v>
      </c>
      <c r="T120" s="28"/>
    </row>
    <row r="121" spans="1:20" x14ac:dyDescent="0.25">
      <c r="A121" s="137" t="s">
        <v>48</v>
      </c>
      <c r="B121" s="138"/>
      <c r="C121" s="138"/>
      <c r="D121" s="138"/>
      <c r="E121" s="138"/>
      <c r="F121" s="138"/>
      <c r="G121" s="138"/>
      <c r="H121" s="138"/>
      <c r="I121" s="138"/>
      <c r="J121" s="139"/>
      <c r="K121" s="23">
        <f t="shared" ref="K121:P121" si="49">K116*14+K119*12</f>
        <v>196</v>
      </c>
      <c r="L121" s="23">
        <f t="shared" si="49"/>
        <v>98</v>
      </c>
      <c r="M121" s="23">
        <f t="shared" si="49"/>
        <v>0</v>
      </c>
      <c r="N121" s="23">
        <f t="shared" si="49"/>
        <v>294</v>
      </c>
      <c r="O121" s="23">
        <f t="shared" si="49"/>
        <v>896</v>
      </c>
      <c r="P121" s="23">
        <f t="shared" si="49"/>
        <v>1190</v>
      </c>
      <c r="Q121" s="143"/>
      <c r="R121" s="144"/>
      <c r="S121" s="144"/>
      <c r="T121" s="145"/>
    </row>
    <row r="122" spans="1:20" s="55" customFormat="1" x14ac:dyDescent="0.25">
      <c r="A122" s="140"/>
      <c r="B122" s="141"/>
      <c r="C122" s="141"/>
      <c r="D122" s="141"/>
      <c r="E122" s="141"/>
      <c r="F122" s="141"/>
      <c r="G122" s="141"/>
      <c r="H122" s="141"/>
      <c r="I122" s="141"/>
      <c r="J122" s="142"/>
      <c r="K122" s="131">
        <f>SUM(K121:M121)</f>
        <v>294</v>
      </c>
      <c r="L122" s="132"/>
      <c r="M122" s="133"/>
      <c r="N122" s="134">
        <f>SUM(N121:O121)</f>
        <v>1190</v>
      </c>
      <c r="O122" s="135"/>
      <c r="P122" s="136"/>
      <c r="Q122" s="146"/>
      <c r="R122" s="147"/>
      <c r="S122" s="147"/>
      <c r="T122" s="148"/>
    </row>
    <row r="124" spans="1:20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ht="28.5" customHeight="1" x14ac:dyDescent="0.25">
      <c r="B125" s="8"/>
      <c r="C125" s="8"/>
      <c r="D125" s="8"/>
      <c r="E125" s="8"/>
      <c r="F125" s="8"/>
      <c r="G125" s="8"/>
      <c r="H125" s="16"/>
      <c r="I125" s="16"/>
      <c r="J125" s="16"/>
      <c r="M125" s="8"/>
      <c r="N125" s="8"/>
      <c r="O125" s="8"/>
      <c r="P125" s="8"/>
      <c r="Q125" s="8"/>
      <c r="R125" s="8"/>
      <c r="S125" s="8"/>
    </row>
    <row r="126" spans="1:20" ht="27.75" customHeight="1" x14ac:dyDescent="0.25"/>
    <row r="127" spans="1:20" ht="16.5" customHeight="1" x14ac:dyDescent="0.25">
      <c r="A127" s="155" t="s">
        <v>100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</row>
    <row r="128" spans="1:20" ht="17.25" customHeight="1" x14ac:dyDescent="0.25">
      <c r="A128" s="126" t="s">
        <v>27</v>
      </c>
      <c r="B128" s="126" t="s">
        <v>26</v>
      </c>
      <c r="C128" s="126"/>
      <c r="D128" s="126"/>
      <c r="E128" s="126"/>
      <c r="F128" s="126"/>
      <c r="G128" s="126"/>
      <c r="H128" s="126"/>
      <c r="I128" s="126"/>
      <c r="J128" s="94" t="s">
        <v>40</v>
      </c>
      <c r="K128" s="94" t="s">
        <v>24</v>
      </c>
      <c r="L128" s="94"/>
      <c r="M128" s="94"/>
      <c r="N128" s="94" t="s">
        <v>41</v>
      </c>
      <c r="O128" s="94"/>
      <c r="P128" s="94"/>
      <c r="Q128" s="94" t="s">
        <v>23</v>
      </c>
      <c r="R128" s="94"/>
      <c r="S128" s="94"/>
      <c r="T128" s="94" t="s">
        <v>22</v>
      </c>
    </row>
    <row r="129" spans="1:20" x14ac:dyDescent="0.25">
      <c r="A129" s="126"/>
      <c r="B129" s="126"/>
      <c r="C129" s="126"/>
      <c r="D129" s="126"/>
      <c r="E129" s="126"/>
      <c r="F129" s="126"/>
      <c r="G129" s="126"/>
      <c r="H129" s="126"/>
      <c r="I129" s="126"/>
      <c r="J129" s="94"/>
      <c r="K129" s="30" t="s">
        <v>28</v>
      </c>
      <c r="L129" s="30" t="s">
        <v>29</v>
      </c>
      <c r="M129" s="30" t="s">
        <v>30</v>
      </c>
      <c r="N129" s="30" t="s">
        <v>34</v>
      </c>
      <c r="O129" s="30" t="s">
        <v>7</v>
      </c>
      <c r="P129" s="30" t="s">
        <v>31</v>
      </c>
      <c r="Q129" s="30" t="s">
        <v>32</v>
      </c>
      <c r="R129" s="30" t="s">
        <v>28</v>
      </c>
      <c r="S129" s="30" t="s">
        <v>33</v>
      </c>
      <c r="T129" s="94"/>
    </row>
    <row r="130" spans="1:20" x14ac:dyDescent="0.25">
      <c r="A130" s="95" t="s">
        <v>62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96"/>
    </row>
    <row r="131" spans="1:20" x14ac:dyDescent="0.25">
      <c r="A131" s="33" t="str">
        <f>IF(ISNA(INDEX($A$37:$T$103,MATCH($B131,$B$37:$B$103,0),1)),"",INDEX($A$37:$T$103,MATCH($B131,$B$37:$B$103,0),1))</f>
        <v>MMG8155</v>
      </c>
      <c r="B131" s="127" t="s">
        <v>131</v>
      </c>
      <c r="C131" s="127"/>
      <c r="D131" s="127"/>
      <c r="E131" s="127"/>
      <c r="F131" s="127"/>
      <c r="G131" s="127"/>
      <c r="H131" s="127"/>
      <c r="I131" s="127"/>
      <c r="J131" s="19">
        <f>IF(ISNA(INDEX($A$37:$T$103,MATCH($B131,$B$37:$B$103,0),10)),"",INDEX($A$37:$T$103,MATCH($B131,$B$37:$B$103,0),10))</f>
        <v>6</v>
      </c>
      <c r="K131" s="19">
        <f>IF(ISNA(INDEX($A$37:$T$103,MATCH($B131,$B$37:$B$103,0),11)),"",INDEX($A$37:$T$103,MATCH($B131,$B$37:$B$103,0),11))</f>
        <v>2</v>
      </c>
      <c r="L131" s="19">
        <f>IF(ISNA(INDEX($A$37:$T$103,MATCH($B131,$B$37:$B$103,0),12)),"",INDEX($A$37:$T$103,MATCH($B131,$B$37:$B$103,0),12))</f>
        <v>1</v>
      </c>
      <c r="M131" s="19">
        <f>IF(ISNA(INDEX($A$37:$T$103,MATCH($B131,$B$37:$B$103,0),13)),"",INDEX($A$37:$T$103,MATCH($B131,$B$37:$B$103,0),13))</f>
        <v>0</v>
      </c>
      <c r="N131" s="19">
        <f>IF(ISNA(INDEX($A$37:$T$103,MATCH($B131,$B$37:$B$103,0),14)),"",INDEX($A$37:$T$103,MATCH($B131,$B$37:$B$103,0),14))</f>
        <v>3</v>
      </c>
      <c r="O131" s="19">
        <f>IF(ISNA(INDEX($A$37:$T$103,MATCH($B131,$B$37:$B$103,0),15)),"",INDEX($A$37:$T$103,MATCH($B131,$B$37:$B$103,0),15))</f>
        <v>8</v>
      </c>
      <c r="P131" s="19">
        <f>IF(ISNA(INDEX($A$37:$T$103,MATCH($B131,$B$37:$B$103,0),16)),"",INDEX($A$37:$T$103,MATCH($B131,$B$37:$B$103,0),16))</f>
        <v>11</v>
      </c>
      <c r="Q131" s="29" t="str">
        <f>IF(ISNA(INDEX($A$37:$T$103,MATCH($B131,$B$37:$B$103,0),17)),"",INDEX($A$37:$T$103,MATCH($B131,$B$37:$B$103,0),17))</f>
        <v>E</v>
      </c>
      <c r="R131" s="29">
        <f>IF(ISNA(INDEX($A$37:$T$103,MATCH($B131,$B$37:$B$103,0),18)),"",INDEX($A$37:$T$103,MATCH($B131,$B$37:$B$103,0),18))</f>
        <v>0</v>
      </c>
      <c r="S131" s="29">
        <f>IF(ISNA(INDEX($A$37:$T$103,MATCH($B131,$B$37:$B$103,0),19)),"",INDEX($A$37:$T$103,MATCH($B131,$B$37:$B$103,0),19))</f>
        <v>0</v>
      </c>
      <c r="T131" s="20" t="s">
        <v>38</v>
      </c>
    </row>
    <row r="132" spans="1:20" x14ac:dyDescent="0.25">
      <c r="A132" s="33" t="str">
        <f>IF(ISNA(INDEX($A$37:$T$103,MATCH($B132,$B$37:$B$103,0),1)),"",INDEX($A$37:$T$103,MATCH($B132,$B$37:$B$103,0),1))</f>
        <v>MMX9702</v>
      </c>
      <c r="B132" s="127" t="s">
        <v>133</v>
      </c>
      <c r="C132" s="127"/>
      <c r="D132" s="127"/>
      <c r="E132" s="127"/>
      <c r="F132" s="127"/>
      <c r="G132" s="127"/>
      <c r="H132" s="127"/>
      <c r="I132" s="127"/>
      <c r="J132" s="19">
        <f>IF(ISNA(INDEX($A$37:$T$103,MATCH($B132,$B$37:$B$103,0),10)),"",INDEX($A$37:$T$103,MATCH($B132,$B$37:$B$103,0),10))</f>
        <v>7</v>
      </c>
      <c r="K132" s="19">
        <f>IF(ISNA(INDEX($A$37:$T$103,MATCH($B132,$B$37:$B$103,0),11)),"",INDEX($A$37:$T$103,MATCH($B132,$B$37:$B$103,0),11))</f>
        <v>2</v>
      </c>
      <c r="L132" s="19">
        <f>IF(ISNA(INDEX($A$37:$T$103,MATCH($B132,$B$37:$B$103,0),12)),"",INDEX($A$37:$T$103,MATCH($B132,$B$37:$B$103,0),12))</f>
        <v>1</v>
      </c>
      <c r="M132" s="19">
        <f>IF(ISNA(INDEX($A$37:$T$103,MATCH($B132,$B$37:$B$103,0),13)),"",INDEX($A$37:$T$103,MATCH($B132,$B$37:$B$103,0),13))</f>
        <v>0</v>
      </c>
      <c r="N132" s="19">
        <f>IF(ISNA(INDEX($A$37:$T$103,MATCH($B132,$B$37:$B$103,0),14)),"",INDEX($A$37:$T$103,MATCH($B132,$B$37:$B$103,0),14))</f>
        <v>3</v>
      </c>
      <c r="O132" s="19">
        <f>IF(ISNA(INDEX($A$37:$T$103,MATCH($B132,$B$37:$B$103,0),15)),"",INDEX($A$37:$T$103,MATCH($B132,$B$37:$B$103,0),15))</f>
        <v>10</v>
      </c>
      <c r="P132" s="19">
        <f>IF(ISNA(INDEX($A$37:$T$103,MATCH($B132,$B$37:$B$103,0),16)),"",INDEX($A$37:$T$103,MATCH($B132,$B$37:$B$103,0),16))</f>
        <v>13</v>
      </c>
      <c r="Q132" s="29" t="str">
        <f>IF(ISNA(INDEX($A$37:$T$103,MATCH($B132,$B$37:$B$103,0),17)),"",INDEX($A$37:$T$103,MATCH($B132,$B$37:$B$103,0),17))</f>
        <v>E</v>
      </c>
      <c r="R132" s="29">
        <f>IF(ISNA(INDEX($A$37:$T$103,MATCH($B132,$B$37:$B$103,0),18)),"",INDEX($A$37:$T$103,MATCH($B132,$B$37:$B$103,0),18))</f>
        <v>0</v>
      </c>
      <c r="S132" s="29">
        <f>IF(ISNA(INDEX($A$37:$T$103,MATCH($B132,$B$37:$B$103,0),19)),"",INDEX($A$37:$T$103,MATCH($B132,$B$37:$B$103,0),19))</f>
        <v>0</v>
      </c>
      <c r="T132" s="20" t="s">
        <v>38</v>
      </c>
    </row>
    <row r="133" spans="1:20" x14ac:dyDescent="0.25">
      <c r="A133" s="33" t="str">
        <f>IF(ISNA(INDEX($A$37:$T$103,MATCH($B133,$B$37:$B$103,0),1)),"",INDEX($A$37:$T$103,MATCH($B133,$B$37:$B$103,0),1))</f>
        <v>MMG9105</v>
      </c>
      <c r="B133" s="127" t="s">
        <v>141</v>
      </c>
      <c r="C133" s="127"/>
      <c r="D133" s="127"/>
      <c r="E133" s="127"/>
      <c r="F133" s="127"/>
      <c r="G133" s="127"/>
      <c r="H133" s="127"/>
      <c r="I133" s="127"/>
      <c r="J133" s="19">
        <f>IF(ISNA(INDEX($A$37:$T$103,MATCH($B133,$B$37:$B$103,0),10)),"",INDEX($A$37:$T$103,MATCH($B133,$B$37:$B$103,0),10))</f>
        <v>3</v>
      </c>
      <c r="K133" s="19">
        <f>IF(ISNA(INDEX($A$37:$T$103,MATCH($B133,$B$37:$B$103,0),11)),"",INDEX($A$37:$T$103,MATCH($B133,$B$37:$B$103,0),11))</f>
        <v>0</v>
      </c>
      <c r="L133" s="19">
        <f>IF(ISNA(INDEX($A$37:$T$103,MATCH($B133,$B$37:$B$103,0),12)),"",INDEX($A$37:$T$103,MATCH($B133,$B$37:$B$103,0),12))</f>
        <v>0</v>
      </c>
      <c r="M133" s="19">
        <f>IF(ISNA(INDEX($A$37:$T$103,MATCH($B133,$B$37:$B$103,0),13)),"",INDEX($A$37:$T$103,MATCH($B133,$B$37:$B$103,0),13))</f>
        <v>0</v>
      </c>
      <c r="N133" s="19">
        <f>IF(ISNA(INDEX($A$37:$T$103,MATCH($B133,$B$37:$B$103,0),14)),"",INDEX($A$37:$T$103,MATCH($B133,$B$37:$B$103,0),14))</f>
        <v>0</v>
      </c>
      <c r="O133" s="19">
        <f>IF(ISNA(INDEX($A$37:$T$103,MATCH($B133,$B$37:$B$103,0),15)),"",INDEX($A$37:$T$103,MATCH($B133,$B$37:$B$103,0),15))</f>
        <v>5</v>
      </c>
      <c r="P133" s="19">
        <f>IF(ISNA(INDEX($A$37:$T$103,MATCH($B133,$B$37:$B$103,0),16)),"",INDEX($A$37:$T$103,MATCH($B133,$B$37:$B$103,0),16))</f>
        <v>5</v>
      </c>
      <c r="Q133" s="29" t="str">
        <f>IF(ISNA(INDEX($A$37:$T$103,MATCH($B133,$B$37:$B$103,0),17)),"",INDEX($A$37:$T$103,MATCH($B133,$B$37:$B$103,0),17))</f>
        <v>E</v>
      </c>
      <c r="R133" s="29">
        <f>IF(ISNA(INDEX($A$37:$T$103,MATCH($B133,$B$37:$B$103,0),18)),"",INDEX($A$37:$T$103,MATCH($B133,$B$37:$B$103,0),18))</f>
        <v>0</v>
      </c>
      <c r="S133" s="29">
        <f>IF(ISNA(INDEX($A$37:$T$103,MATCH($B133,$B$37:$B$103,0),19)),"",INDEX($A$37:$T$103,MATCH($B133,$B$37:$B$103,0),19))</f>
        <v>0</v>
      </c>
      <c r="T133" s="20" t="s">
        <v>38</v>
      </c>
    </row>
    <row r="134" spans="1:20" ht="18.75" customHeight="1" x14ac:dyDescent="0.25">
      <c r="A134" s="33" t="str">
        <f>IF(ISNA(INDEX($A$37:$T$103,MATCH($B134,$B$37:$B$103,0),1)),"",INDEX($A$37:$T$103,MATCH($B134,$B$37:$B$103,0),1))</f>
        <v>MMX9703</v>
      </c>
      <c r="B134" s="127" t="s">
        <v>170</v>
      </c>
      <c r="C134" s="127"/>
      <c r="D134" s="127"/>
      <c r="E134" s="127"/>
      <c r="F134" s="127"/>
      <c r="G134" s="127"/>
      <c r="H134" s="127"/>
      <c r="I134" s="127"/>
      <c r="J134" s="19">
        <f>IF(ISNA(INDEX($A$37:$T$103,MATCH($B134,$B$37:$B$103,0),10)),"",INDEX($A$37:$T$103,MATCH($B134,$B$37:$B$103,0),10))</f>
        <v>7</v>
      </c>
      <c r="K134" s="19">
        <f>IF(ISNA(INDEX($A$37:$T$103,MATCH($B134,$B$37:$B$103,0),11)),"",INDEX($A$37:$T$103,MATCH($B134,$B$37:$B$103,0),11))</f>
        <v>2</v>
      </c>
      <c r="L134" s="19">
        <f>IF(ISNA(INDEX($A$37:$T$103,MATCH($B134,$B$37:$B$103,0),12)),"",INDEX($A$37:$T$103,MATCH($B134,$B$37:$B$103,0),12))</f>
        <v>1</v>
      </c>
      <c r="M134" s="19">
        <f>IF(ISNA(INDEX($A$37:$T$103,MATCH($B134,$B$37:$B$103,0),13)),"",INDEX($A$37:$T$103,MATCH($B134,$B$37:$B$103,0),13))</f>
        <v>0</v>
      </c>
      <c r="N134" s="19">
        <f>IF(ISNA(INDEX($A$37:$T$103,MATCH($B134,$B$37:$B$103,0),14)),"",INDEX($A$37:$T$103,MATCH($B134,$B$37:$B$103,0),14))</f>
        <v>3</v>
      </c>
      <c r="O134" s="19">
        <f>IF(ISNA(INDEX($A$37:$T$103,MATCH($B134,$B$37:$B$103,0),15)),"",INDEX($A$37:$T$103,MATCH($B134,$B$37:$B$103,0),15))</f>
        <v>10</v>
      </c>
      <c r="P134" s="19">
        <f>IF(ISNA(INDEX($A$37:$T$103,MATCH($B134,$B$37:$B$103,0),16)),"",INDEX($A$37:$T$103,MATCH($B134,$B$37:$B$103,0),16))</f>
        <v>13</v>
      </c>
      <c r="Q134" s="29" t="str">
        <f>IF(ISNA(INDEX($A$37:$T$103,MATCH($B134,$B$37:$B$103,0),17)),"",INDEX($A$37:$T$103,MATCH($B134,$B$37:$B$103,0),17))</f>
        <v>E</v>
      </c>
      <c r="R134" s="29">
        <f>IF(ISNA(INDEX($A$37:$T$103,MATCH($B134,$B$37:$B$103,0),18)),"",INDEX($A$37:$T$103,MATCH($B134,$B$37:$B$103,0),18))</f>
        <v>0</v>
      </c>
      <c r="S134" s="29">
        <f>IF(ISNA(INDEX($A$37:$T$103,MATCH($B134,$B$37:$B$103,0),19)),"",INDEX($A$37:$T$103,MATCH($B134,$B$37:$B$103,0),19))</f>
        <v>0</v>
      </c>
      <c r="T134" s="20" t="s">
        <v>38</v>
      </c>
    </row>
    <row r="135" spans="1:20" x14ac:dyDescent="0.25">
      <c r="A135" s="21" t="s">
        <v>25</v>
      </c>
      <c r="B135" s="151"/>
      <c r="C135" s="152"/>
      <c r="D135" s="152"/>
      <c r="E135" s="152"/>
      <c r="F135" s="152"/>
      <c r="G135" s="152"/>
      <c r="H135" s="152"/>
      <c r="I135" s="153"/>
      <c r="J135" s="23">
        <f t="shared" ref="J135:P135" si="50">SUM(J131:J134)</f>
        <v>23</v>
      </c>
      <c r="K135" s="23">
        <f t="shared" si="50"/>
        <v>6</v>
      </c>
      <c r="L135" s="23">
        <f t="shared" si="50"/>
        <v>3</v>
      </c>
      <c r="M135" s="23">
        <f t="shared" si="50"/>
        <v>0</v>
      </c>
      <c r="N135" s="23">
        <f t="shared" si="50"/>
        <v>9</v>
      </c>
      <c r="O135" s="23">
        <f t="shared" si="50"/>
        <v>33</v>
      </c>
      <c r="P135" s="23">
        <f t="shared" si="50"/>
        <v>42</v>
      </c>
      <c r="Q135" s="21">
        <f>COUNTIF(Q131:Q134,"E")</f>
        <v>4</v>
      </c>
      <c r="R135" s="21">
        <f>COUNTIF(R131:R134,"C")</f>
        <v>0</v>
      </c>
      <c r="S135" s="21">
        <f>COUNTIF(S131:S134,"VP")</f>
        <v>0</v>
      </c>
      <c r="T135" s="18"/>
    </row>
    <row r="136" spans="1:20" x14ac:dyDescent="0.25">
      <c r="A136" s="95" t="s">
        <v>63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96"/>
    </row>
    <row r="137" spans="1:20" x14ac:dyDescent="0.25">
      <c r="A137" s="33" t="str">
        <f>IF(ISNA(INDEX($A$37:$T$103,MATCH($B137,$B$37:$B$103,0),1)),"",INDEX($A$37:$T$103,MATCH($B137,$B$37:$B$103,0),1))</f>
        <v>MMG9012</v>
      </c>
      <c r="B137" s="127" t="s">
        <v>144</v>
      </c>
      <c r="C137" s="127"/>
      <c r="D137" s="127"/>
      <c r="E137" s="127"/>
      <c r="F137" s="127"/>
      <c r="G137" s="127"/>
      <c r="H137" s="127"/>
      <c r="I137" s="127"/>
      <c r="J137" s="19">
        <f>IF(ISNA(INDEX($A$37:$T$103,MATCH($B137,$B$37:$B$103,0),10)),"",INDEX($A$37:$T$103,MATCH($B137,$B$37:$B$103,0),10))</f>
        <v>20</v>
      </c>
      <c r="K137" s="19">
        <f>IF(ISNA(INDEX($A$37:$T$103,MATCH($B137,$B$37:$B$103,0),11)),"",INDEX($A$37:$T$103,MATCH($B137,$B$37:$B$103,0),11))</f>
        <v>0</v>
      </c>
      <c r="L137" s="19">
        <f>IF(ISNA(INDEX($A$37:$T$103,MATCH($B137,$B$37:$B$103,0),12)),"",INDEX($A$37:$T$103,MATCH($B137,$B$37:$B$103,0),12))</f>
        <v>0</v>
      </c>
      <c r="M137" s="19">
        <f>IF(ISNA(INDEX($A$37:$T$103,MATCH($B137,$B$37:$B$103,0),13)),"",INDEX($A$37:$T$103,MATCH($B137,$B$37:$B$103,0),13))</f>
        <v>16</v>
      </c>
      <c r="N137" s="19">
        <f>IF(ISNA(INDEX($A$37:$T$103,MATCH($B137,$B$37:$B$103,0),14)),"",INDEX($A$37:$T$103,MATCH($B137,$B$37:$B$103,0),14))</f>
        <v>16</v>
      </c>
      <c r="O137" s="19">
        <f>IF(ISNA(INDEX($A$37:$T$103,MATCH($B137,$B$37:$B$103,0),15)),"",INDEX($A$37:$T$103,MATCH($B137,$B$37:$B$103,0),15))</f>
        <v>26</v>
      </c>
      <c r="P137" s="19">
        <f>IF(ISNA(INDEX($A$37:$T$103,MATCH($B137,$B$37:$B$103,0),16)),"",INDEX($A$37:$T$103,MATCH($B137,$B$37:$B$103,0),16))</f>
        <v>42</v>
      </c>
      <c r="Q137" s="29">
        <f>IF(ISNA(INDEX($A$37:$T$103,MATCH($B137,$B$37:$B$103,0),17)),"",INDEX($A$37:$T$103,MATCH($B137,$B$37:$B$103,0),17))</f>
        <v>0</v>
      </c>
      <c r="R137" s="29" t="str">
        <f>IF(ISNA(INDEX($A$37:$T$103,MATCH($B137,$B$37:$B$103,0),18)),"",INDEX($A$37:$T$103,MATCH($B137,$B$37:$B$103,0),18))</f>
        <v>C</v>
      </c>
      <c r="S137" s="29">
        <f>IF(ISNA(INDEX($A$37:$T$103,MATCH($B137,$B$37:$B$103,0),19)),"",INDEX($A$37:$T$103,MATCH($B137,$B$37:$B$103,0),19))</f>
        <v>0</v>
      </c>
      <c r="T137" s="20" t="s">
        <v>38</v>
      </c>
    </row>
    <row r="138" spans="1:20" x14ac:dyDescent="0.25">
      <c r="A138" s="33" t="str">
        <f>IF(ISNA(INDEX($A$37:$T$103,MATCH($B138,$B$37:$B$103,0),1)),"",INDEX($A$37:$T$103,MATCH($B138,$B$37:$B$103,0),1))</f>
        <v>MMG9104</v>
      </c>
      <c r="B138" s="127" t="s">
        <v>147</v>
      </c>
      <c r="C138" s="127"/>
      <c r="D138" s="127"/>
      <c r="E138" s="127"/>
      <c r="F138" s="127"/>
      <c r="G138" s="127"/>
      <c r="H138" s="127"/>
      <c r="I138" s="127"/>
      <c r="J138" s="19">
        <f>IF(ISNA(INDEX($A$37:$T$103,MATCH($B138,$B$37:$B$103,0),10)),"",INDEX($A$37:$T$103,MATCH($B138,$B$37:$B$103,0),10))</f>
        <v>6</v>
      </c>
      <c r="K138" s="19">
        <f>IF(ISNA(INDEX($A$37:$T$103,MATCH($B138,$B$37:$B$103,0),11)),"",INDEX($A$37:$T$103,MATCH($B138,$B$37:$B$103,0),11))</f>
        <v>0</v>
      </c>
      <c r="L138" s="19">
        <f>IF(ISNA(INDEX($A$37:$T$103,MATCH($B138,$B$37:$B$103,0),12)),"",INDEX($A$37:$T$103,MATCH($B138,$B$37:$B$103,0),12))</f>
        <v>0</v>
      </c>
      <c r="M138" s="19">
        <f>IF(ISNA(INDEX($A$37:$T$103,MATCH($B138,$B$37:$B$103,0),13)),"",INDEX($A$37:$T$103,MATCH($B138,$B$37:$B$103,0),13))</f>
        <v>1</v>
      </c>
      <c r="N138" s="19">
        <f>IF(ISNA(INDEX($A$37:$T$103,MATCH($B138,$B$37:$B$103,0),14)),"",INDEX($A$37:$T$103,MATCH($B138,$B$37:$B$103,0),14))</f>
        <v>1</v>
      </c>
      <c r="O138" s="19">
        <f>IF(ISNA(INDEX($A$37:$T$103,MATCH($B138,$B$37:$B$103,0),15)),"",INDEX($A$37:$T$103,MATCH($B138,$B$37:$B$103,0),15))</f>
        <v>12</v>
      </c>
      <c r="P138" s="19">
        <f>IF(ISNA(INDEX($A$37:$T$103,MATCH($B138,$B$37:$B$103,0),16)),"",INDEX($A$37:$T$103,MATCH($B138,$B$37:$B$103,0),16))</f>
        <v>13</v>
      </c>
      <c r="Q138" s="29">
        <f>IF(ISNA(INDEX($A$37:$T$103,MATCH($B138,$B$37:$B$103,0),17)),"",INDEX($A$37:$T$103,MATCH($B138,$B$37:$B$103,0),17))</f>
        <v>0</v>
      </c>
      <c r="R138" s="29" t="str">
        <f>IF(ISNA(INDEX($A$37:$T$103,MATCH($B138,$B$37:$B$103,0),18)),"",INDEX($A$37:$T$103,MATCH($B138,$B$37:$B$103,0),18))</f>
        <v>C</v>
      </c>
      <c r="S138" s="29">
        <f>IF(ISNA(INDEX($A$37:$T$103,MATCH($B138,$B$37:$B$103,0),19)),"",INDEX($A$37:$T$103,MATCH($B138,$B$37:$B$103,0),19))</f>
        <v>0</v>
      </c>
      <c r="T138" s="20" t="s">
        <v>38</v>
      </c>
    </row>
    <row r="139" spans="1:20" ht="30.75" customHeight="1" x14ac:dyDescent="0.25">
      <c r="A139" s="33" t="str">
        <f>IF(ISNA(INDEX($A$37:$T$103,MATCH($B139,$B$37:$B$103,0),1)),"",INDEX($A$37:$T$103,MATCH($B139,$B$37:$B$103,0),1))</f>
        <v>MMG3042</v>
      </c>
      <c r="B139" s="127" t="s">
        <v>148</v>
      </c>
      <c r="C139" s="127"/>
      <c r="D139" s="127"/>
      <c r="E139" s="127"/>
      <c r="F139" s="127"/>
      <c r="G139" s="127"/>
      <c r="H139" s="127"/>
      <c r="I139" s="127"/>
      <c r="J139" s="19">
        <f>IF(ISNA(INDEX($A$37:$T$103,MATCH($B139,$B$37:$B$103,0),10)),"",INDEX($A$37:$T$103,MATCH($B139,$B$37:$B$103,0),10))</f>
        <v>4</v>
      </c>
      <c r="K139" s="19">
        <f>IF(ISNA(INDEX($A$37:$T$103,MATCH($B139,$B$37:$B$103,0),11)),"",INDEX($A$37:$T$103,MATCH($B139,$B$37:$B$103,0),11))</f>
        <v>0</v>
      </c>
      <c r="L139" s="19">
        <f>IF(ISNA(INDEX($A$37:$T$103,MATCH($B139,$B$37:$B$103,0),12)),"",INDEX($A$37:$T$103,MATCH($B139,$B$37:$B$103,0),12))</f>
        <v>0</v>
      </c>
      <c r="M139" s="19">
        <f>IF(ISNA(INDEX($A$37:$T$103,MATCH($B139,$B$37:$B$103,0),13)),"",INDEX($A$37:$T$103,MATCH($B139,$B$37:$B$103,0),13))</f>
        <v>0</v>
      </c>
      <c r="N139" s="19">
        <f>IF(ISNA(INDEX($A$37:$T$103,MATCH($B139,$B$37:$B$103,0),14)),"",INDEX($A$37:$T$103,MATCH($B139,$B$37:$B$103,0),14))</f>
        <v>0</v>
      </c>
      <c r="O139" s="19">
        <f>IF(ISNA(INDEX($A$37:$T$103,MATCH($B139,$B$37:$B$103,0),15)),"",INDEX($A$37:$T$103,MATCH($B139,$B$37:$B$103,0),15))</f>
        <v>8</v>
      </c>
      <c r="P139" s="19">
        <f>IF(ISNA(INDEX($A$37:$T$103,MATCH($B139,$B$37:$B$103,0),16)),"",INDEX($A$37:$T$103,MATCH($B139,$B$37:$B$103,0),16))</f>
        <v>8</v>
      </c>
      <c r="Q139" s="29">
        <f>IF(ISNA(INDEX($A$37:$T$103,MATCH($B139,$B$37:$B$103,0),17)),"",INDEX($A$37:$T$103,MATCH($B139,$B$37:$B$103,0),17))</f>
        <v>0</v>
      </c>
      <c r="R139" s="29">
        <f>IF(ISNA(INDEX($A$37:$T$103,MATCH($B139,$B$37:$B$103,0),18)),"",INDEX($A$37:$T$103,MATCH($B139,$B$37:$B$103,0),18))</f>
        <v>0</v>
      </c>
      <c r="S139" s="29" t="str">
        <f>IF(ISNA(INDEX($A$37:$T$103,MATCH($B139,$B$37:$B$103,0),19)),"",INDEX($A$37:$T$103,MATCH($B139,$B$37:$B$103,0),19))</f>
        <v>VP</v>
      </c>
      <c r="T139" s="20" t="s">
        <v>38</v>
      </c>
    </row>
    <row r="140" spans="1:20" ht="15.75" customHeight="1" x14ac:dyDescent="0.25">
      <c r="A140" s="21" t="s">
        <v>25</v>
      </c>
      <c r="B140" s="126"/>
      <c r="C140" s="126"/>
      <c r="D140" s="126"/>
      <c r="E140" s="126"/>
      <c r="F140" s="126"/>
      <c r="G140" s="126"/>
      <c r="H140" s="126"/>
      <c r="I140" s="126"/>
      <c r="J140" s="23">
        <f t="shared" ref="J140:P140" si="51">SUM(J137:J139)</f>
        <v>30</v>
      </c>
      <c r="K140" s="23">
        <f t="shared" si="51"/>
        <v>0</v>
      </c>
      <c r="L140" s="23">
        <f t="shared" si="51"/>
        <v>0</v>
      </c>
      <c r="M140" s="23">
        <f t="shared" si="51"/>
        <v>17</v>
      </c>
      <c r="N140" s="23">
        <f t="shared" si="51"/>
        <v>17</v>
      </c>
      <c r="O140" s="23">
        <f t="shared" si="51"/>
        <v>46</v>
      </c>
      <c r="P140" s="23">
        <f t="shared" si="51"/>
        <v>63</v>
      </c>
      <c r="Q140" s="21">
        <f>COUNTIF(Q137:Q139,"E")</f>
        <v>0</v>
      </c>
      <c r="R140" s="21">
        <f>COUNTIF(R137:R139,"C")</f>
        <v>2</v>
      </c>
      <c r="S140" s="21">
        <f>COUNTIF(S137:S139,"VP")</f>
        <v>1</v>
      </c>
      <c r="T140" s="22"/>
    </row>
    <row r="141" spans="1:20" ht="17.25" customHeight="1" x14ac:dyDescent="0.25">
      <c r="A141" s="128" t="s">
        <v>73</v>
      </c>
      <c r="B141" s="129"/>
      <c r="C141" s="129"/>
      <c r="D141" s="129"/>
      <c r="E141" s="129"/>
      <c r="F141" s="129"/>
      <c r="G141" s="129"/>
      <c r="H141" s="129"/>
      <c r="I141" s="130"/>
      <c r="J141" s="23">
        <f t="shared" ref="J141:S141" si="52">SUM(J135,J140)</f>
        <v>53</v>
      </c>
      <c r="K141" s="23">
        <f t="shared" si="52"/>
        <v>6</v>
      </c>
      <c r="L141" s="23">
        <f t="shared" si="52"/>
        <v>3</v>
      </c>
      <c r="M141" s="23">
        <f t="shared" si="52"/>
        <v>17</v>
      </c>
      <c r="N141" s="23">
        <f t="shared" si="52"/>
        <v>26</v>
      </c>
      <c r="O141" s="23">
        <f t="shared" si="52"/>
        <v>79</v>
      </c>
      <c r="P141" s="23">
        <f t="shared" si="52"/>
        <v>105</v>
      </c>
      <c r="Q141" s="23">
        <f t="shared" si="52"/>
        <v>4</v>
      </c>
      <c r="R141" s="23">
        <f t="shared" si="52"/>
        <v>2</v>
      </c>
      <c r="S141" s="23">
        <f t="shared" si="52"/>
        <v>1</v>
      </c>
      <c r="T141" s="28"/>
    </row>
    <row r="142" spans="1:20" ht="8.25" customHeight="1" x14ac:dyDescent="0.25">
      <c r="A142" s="137" t="s">
        <v>48</v>
      </c>
      <c r="B142" s="138"/>
      <c r="C142" s="138"/>
      <c r="D142" s="138"/>
      <c r="E142" s="138"/>
      <c r="F142" s="138"/>
      <c r="G142" s="138"/>
      <c r="H142" s="138"/>
      <c r="I142" s="138"/>
      <c r="J142" s="139"/>
      <c r="K142" s="23">
        <f t="shared" ref="K142:P142" si="53">K135*14+K140*12</f>
        <v>84</v>
      </c>
      <c r="L142" s="23">
        <f t="shared" si="53"/>
        <v>42</v>
      </c>
      <c r="M142" s="23">
        <f t="shared" si="53"/>
        <v>204</v>
      </c>
      <c r="N142" s="23">
        <f t="shared" si="53"/>
        <v>330</v>
      </c>
      <c r="O142" s="23">
        <f t="shared" si="53"/>
        <v>1014</v>
      </c>
      <c r="P142" s="23">
        <f t="shared" si="53"/>
        <v>1344</v>
      </c>
      <c r="Q142" s="143"/>
      <c r="R142" s="144"/>
      <c r="S142" s="144"/>
      <c r="T142" s="145"/>
    </row>
    <row r="143" spans="1:20" s="55" customFormat="1" ht="8.25" customHeight="1" x14ac:dyDescent="0.25">
      <c r="A143" s="140"/>
      <c r="B143" s="141"/>
      <c r="C143" s="141"/>
      <c r="D143" s="141"/>
      <c r="E143" s="141"/>
      <c r="F143" s="141"/>
      <c r="G143" s="141"/>
      <c r="H143" s="141"/>
      <c r="I143" s="141"/>
      <c r="J143" s="142"/>
      <c r="K143" s="131">
        <f>SUM(K142:M142)</f>
        <v>330</v>
      </c>
      <c r="L143" s="132"/>
      <c r="M143" s="133"/>
      <c r="N143" s="134">
        <f>SUM(N142:O142)</f>
        <v>1344</v>
      </c>
      <c r="O143" s="135"/>
      <c r="P143" s="136"/>
      <c r="Q143" s="146"/>
      <c r="R143" s="147"/>
      <c r="S143" s="147"/>
      <c r="T143" s="148"/>
    </row>
    <row r="145" spans="1:20" ht="12.75" customHeight="1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ht="23.25" customHeight="1" x14ac:dyDescent="0.25">
      <c r="B146" s="8"/>
      <c r="C146" s="8"/>
      <c r="D146" s="8"/>
      <c r="E146" s="8"/>
      <c r="F146" s="8"/>
      <c r="G146" s="8"/>
      <c r="H146" s="16"/>
      <c r="I146" s="16"/>
      <c r="J146" s="16"/>
      <c r="M146" s="8"/>
      <c r="N146" s="8"/>
      <c r="O146" s="8"/>
      <c r="P146" s="8"/>
      <c r="Q146" s="8"/>
      <c r="R146" s="8"/>
      <c r="S146" s="8"/>
    </row>
    <row r="147" spans="1:20" ht="26.25" customHeight="1" x14ac:dyDescent="0.25"/>
    <row r="148" spans="1:20" x14ac:dyDescent="0.25">
      <c r="A148" s="126" t="s">
        <v>67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</row>
    <row r="149" spans="1:20" ht="18.75" customHeight="1" x14ac:dyDescent="0.25">
      <c r="A149" s="126" t="s">
        <v>27</v>
      </c>
      <c r="B149" s="126" t="s">
        <v>26</v>
      </c>
      <c r="C149" s="126"/>
      <c r="D149" s="126"/>
      <c r="E149" s="126"/>
      <c r="F149" s="126"/>
      <c r="G149" s="126"/>
      <c r="H149" s="126"/>
      <c r="I149" s="126"/>
      <c r="J149" s="94" t="s">
        <v>40</v>
      </c>
      <c r="K149" s="94" t="s">
        <v>24</v>
      </c>
      <c r="L149" s="94"/>
      <c r="M149" s="94"/>
      <c r="N149" s="94" t="s">
        <v>41</v>
      </c>
      <c r="O149" s="94"/>
      <c r="P149" s="94"/>
      <c r="Q149" s="94" t="s">
        <v>23</v>
      </c>
      <c r="R149" s="94"/>
      <c r="S149" s="94"/>
      <c r="T149" s="94" t="s">
        <v>22</v>
      </c>
    </row>
    <row r="150" spans="1:20" x14ac:dyDescent="0.25">
      <c r="A150" s="126"/>
      <c r="B150" s="126"/>
      <c r="C150" s="126"/>
      <c r="D150" s="126"/>
      <c r="E150" s="126"/>
      <c r="F150" s="126"/>
      <c r="G150" s="126"/>
      <c r="H150" s="126"/>
      <c r="I150" s="126"/>
      <c r="J150" s="94"/>
      <c r="K150" s="30" t="s">
        <v>28</v>
      </c>
      <c r="L150" s="30" t="s">
        <v>29</v>
      </c>
      <c r="M150" s="30" t="s">
        <v>30</v>
      </c>
      <c r="N150" s="30" t="s">
        <v>34</v>
      </c>
      <c r="O150" s="30" t="s">
        <v>7</v>
      </c>
      <c r="P150" s="30" t="s">
        <v>31</v>
      </c>
      <c r="Q150" s="30" t="s">
        <v>32</v>
      </c>
      <c r="R150" s="30" t="s">
        <v>28</v>
      </c>
      <c r="S150" s="30" t="s">
        <v>33</v>
      </c>
      <c r="T150" s="94"/>
    </row>
    <row r="151" spans="1:20" x14ac:dyDescent="0.25">
      <c r="A151" s="95" t="s">
        <v>62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96"/>
    </row>
    <row r="152" spans="1:20" x14ac:dyDescent="0.25">
      <c r="A152" s="33" t="str">
        <f>IF(ISNA(INDEX($A$37:$T$103,MATCH($B152,$B$37:$B$103,0),1)),"",INDEX($A$37:$T$103,MATCH($B152,$B$37:$B$103,0),1))</f>
        <v>MMG8153</v>
      </c>
      <c r="B152" s="127" t="s">
        <v>121</v>
      </c>
      <c r="C152" s="127"/>
      <c r="D152" s="127"/>
      <c r="E152" s="127"/>
      <c r="F152" s="127"/>
      <c r="G152" s="127"/>
      <c r="H152" s="127"/>
      <c r="I152" s="127"/>
      <c r="J152" s="19">
        <f>IF(ISNA(INDEX($A$37:$T$103,MATCH($B152,$B$37:$B$103,0),10)),"",INDEX($A$37:$T$103,MATCH($B152,$B$37:$B$103,0),10))</f>
        <v>8</v>
      </c>
      <c r="K152" s="19">
        <f>IF(ISNA(INDEX($A$37:$T$103,MATCH($B152,$B$37:$B$103,0),11)),"",INDEX($A$37:$T$103,MATCH($B152,$B$37:$B$103,0),11))</f>
        <v>2</v>
      </c>
      <c r="L152" s="19">
        <f>IF(ISNA(INDEX($A$37:$T$103,MATCH($B152,$B$37:$B$103,0),12)),"",INDEX($A$37:$T$103,MATCH($B152,$B$37:$B$103,0),12))</f>
        <v>1</v>
      </c>
      <c r="M152" s="19">
        <f>IF(ISNA(INDEX($A$37:$T$103,MATCH($B152,$B$37:$B$103,0),13)),"",INDEX($A$37:$T$103,MATCH($B152,$B$37:$B$103,0),13))</f>
        <v>0</v>
      </c>
      <c r="N152" s="19">
        <f>IF(ISNA(INDEX($A$37:$T$103,MATCH($B152,$B$37:$B$103,0),14)),"",INDEX($A$37:$T$103,MATCH($B152,$B$37:$B$103,0),14))</f>
        <v>3</v>
      </c>
      <c r="O152" s="19">
        <f>IF(ISNA(INDEX($A$37:$T$103,MATCH($B152,$B$37:$B$103,0),15)),"",INDEX($A$37:$T$103,MATCH($B152,$B$37:$B$103,0),15))</f>
        <v>11</v>
      </c>
      <c r="P152" s="19">
        <f>IF(ISNA(INDEX($A$37:$T$103,MATCH($B152,$B$37:$B$103,0),16)),"",INDEX($A$37:$T$103,MATCH($B152,$B$37:$B$103,0),16))</f>
        <v>14</v>
      </c>
      <c r="Q152" s="29" t="str">
        <f>IF(ISNA(INDEX($A$37:$T$103,MATCH($B152,$B$37:$B$103,0),17)),"",INDEX($A$37:$T$103,MATCH($B152,$B$37:$B$103,0),17))</f>
        <v>E</v>
      </c>
      <c r="R152" s="29">
        <f>IF(ISNA(INDEX($A$37:$T$103,MATCH($B152,$B$37:$B$103,0),18)),"",INDEX($A$37:$T$103,MATCH($B152,$B$37:$B$103,0),18))</f>
        <v>0</v>
      </c>
      <c r="S152" s="29">
        <f>IF(ISNA(INDEX($A$37:$T$103,MATCH($B152,$B$37:$B$103,0),19)),"",INDEX($A$37:$T$103,MATCH($B152,$B$37:$B$103,0),19))</f>
        <v>0</v>
      </c>
      <c r="T152" s="18" t="s">
        <v>39</v>
      </c>
    </row>
    <row r="153" spans="1:20" x14ac:dyDescent="0.25">
      <c r="A153" s="33" t="str">
        <f>IF(ISNA(INDEX($A$37:$T$103,MATCH($B153,$B$37:$B$103,0),1)),"",INDEX($A$37:$T$103,MATCH($B153,$B$37:$B$103,0),1))</f>
        <v>MMG9016</v>
      </c>
      <c r="B153" s="127" t="s">
        <v>122</v>
      </c>
      <c r="C153" s="127"/>
      <c r="D153" s="127"/>
      <c r="E153" s="127"/>
      <c r="F153" s="127"/>
      <c r="G153" s="127"/>
      <c r="H153" s="127"/>
      <c r="I153" s="127"/>
      <c r="J153" s="19">
        <f>IF(ISNA(INDEX($A$37:$T$103,MATCH($B153,$B$37:$B$103,0),10)),"",INDEX($A$37:$T$103,MATCH($B153,$B$37:$B$103,0),10))</f>
        <v>4</v>
      </c>
      <c r="K153" s="19">
        <f>IF(ISNA(INDEX($A$37:$T$103,MATCH($B153,$B$37:$B$103,0),11)),"",INDEX($A$37:$T$103,MATCH($B153,$B$37:$B$103,0),11))</f>
        <v>0</v>
      </c>
      <c r="L153" s="19">
        <f>IF(ISNA(INDEX($A$37:$T$103,MATCH($B153,$B$37:$B$103,0),12)),"",INDEX($A$37:$T$103,MATCH($B153,$B$37:$B$103,0),12))</f>
        <v>2</v>
      </c>
      <c r="M153" s="19">
        <f>IF(ISNA(INDEX($A$37:$T$103,MATCH($B153,$B$37:$B$103,0),13)),"",INDEX($A$37:$T$103,MATCH($B153,$B$37:$B$103,0),13))</f>
        <v>1</v>
      </c>
      <c r="N153" s="19">
        <f>IF(ISNA(INDEX($A$37:$T$103,MATCH($B153,$B$37:$B$103,0),14)),"",INDEX($A$37:$T$103,MATCH($B153,$B$37:$B$103,0),14))</f>
        <v>3</v>
      </c>
      <c r="O153" s="19">
        <f>IF(ISNA(INDEX($A$37:$T$103,MATCH($B153,$B$37:$B$103,0),15)),"",INDEX($A$37:$T$103,MATCH($B153,$B$37:$B$103,0),15))</f>
        <v>4</v>
      </c>
      <c r="P153" s="19">
        <f>IF(ISNA(INDEX($A$37:$T$103,MATCH($B153,$B$37:$B$103,0),16)),"",INDEX($A$37:$T$103,MATCH($B153,$B$37:$B$103,0),16))</f>
        <v>7</v>
      </c>
      <c r="Q153" s="29" t="str">
        <f>IF(ISNA(INDEX($A$37:$T$103,MATCH($B153,$B$37:$B$103,0),17)),"",INDEX($A$37:$T$103,MATCH($B153,$B$37:$B$103,0),17))</f>
        <v>E</v>
      </c>
      <c r="R153" s="29">
        <f>IF(ISNA(INDEX($A$37:$T$103,MATCH($B153,$B$37:$B$103,0),18)),"",INDEX($A$37:$T$103,MATCH($B153,$B$37:$B$103,0),18))</f>
        <v>0</v>
      </c>
      <c r="S153" s="29">
        <f>IF(ISNA(INDEX($A$37:$T$103,MATCH($B153,$B$37:$B$103,0),19)),"",INDEX($A$37:$T$103,MATCH($B153,$B$37:$B$103,0),19))</f>
        <v>0</v>
      </c>
      <c r="T153" s="18" t="s">
        <v>39</v>
      </c>
    </row>
    <row r="154" spans="1:20" x14ac:dyDescent="0.25">
      <c r="A154" s="33" t="str">
        <f>IF(ISNA(INDEX($A$37:$T$103,MATCH($B154,$B$37:$B$103,0),1)),"",INDEX($A$37:$T$103,MATCH($B154,$B$37:$B$103,0),1))</f>
        <v>MMG9107</v>
      </c>
      <c r="B154" s="127" t="s">
        <v>132</v>
      </c>
      <c r="C154" s="127"/>
      <c r="D154" s="127"/>
      <c r="E154" s="127"/>
      <c r="F154" s="127"/>
      <c r="G154" s="127"/>
      <c r="H154" s="127"/>
      <c r="I154" s="127"/>
      <c r="J154" s="19">
        <f>IF(ISNA(INDEX($A$37:$T$103,MATCH($B154,$B$37:$B$103,0),10)),"",INDEX($A$37:$T$103,MATCH($B154,$B$37:$B$103,0),10))</f>
        <v>4</v>
      </c>
      <c r="K154" s="19">
        <f>IF(ISNA(INDEX($A$37:$T$103,MATCH($B154,$B$37:$B$103,0),11)),"",INDEX($A$37:$T$103,MATCH($B154,$B$37:$B$103,0),11))</f>
        <v>0</v>
      </c>
      <c r="L154" s="19">
        <f>IF(ISNA(INDEX($A$37:$T$103,MATCH($B154,$B$37:$B$103,0),12)),"",INDEX($A$37:$T$103,MATCH($B154,$B$37:$B$103,0),12))</f>
        <v>2</v>
      </c>
      <c r="M154" s="19">
        <f>IF(ISNA(INDEX($A$37:$T$103,MATCH($B154,$B$37:$B$103,0),13)),"",INDEX($A$37:$T$103,MATCH($B154,$B$37:$B$103,0),13))</f>
        <v>1</v>
      </c>
      <c r="N154" s="19">
        <f>IF(ISNA(INDEX($A$37:$T$103,MATCH($B154,$B$37:$B$103,0),14)),"",INDEX($A$37:$T$103,MATCH($B154,$B$37:$B$103,0),14))</f>
        <v>3</v>
      </c>
      <c r="O154" s="19">
        <f>IF(ISNA(INDEX($A$37:$T$103,MATCH($B154,$B$37:$B$103,0),15)),"",INDEX($A$37:$T$103,MATCH($B154,$B$37:$B$103,0),15))</f>
        <v>4</v>
      </c>
      <c r="P154" s="19">
        <f>IF(ISNA(INDEX($A$37:$T$103,MATCH($B154,$B$37:$B$103,0),16)),"",INDEX($A$37:$T$103,MATCH($B154,$B$37:$B$103,0),16))</f>
        <v>7</v>
      </c>
      <c r="Q154" s="29" t="str">
        <f>IF(ISNA(INDEX($A$37:$T$103,MATCH($B154,$B$37:$B$103,0),17)),"",INDEX($A$37:$T$103,MATCH($B154,$B$37:$B$103,0),17))</f>
        <v>E</v>
      </c>
      <c r="R154" s="29">
        <f>IF(ISNA(INDEX($A$37:$T$103,MATCH($B154,$B$37:$B$103,0),18)),"",INDEX($A$37:$T$103,MATCH($B154,$B$37:$B$103,0),18))</f>
        <v>0</v>
      </c>
      <c r="S154" s="29">
        <f>IF(ISNA(INDEX($A$37:$T$103,MATCH($B154,$B$37:$B$103,0),19)),"",INDEX($A$37:$T$103,MATCH($B154,$B$37:$B$103,0),19))</f>
        <v>0</v>
      </c>
      <c r="T154" s="18" t="s">
        <v>39</v>
      </c>
    </row>
    <row r="155" spans="1:20" ht="18" customHeight="1" x14ac:dyDescent="0.25">
      <c r="A155" s="33" t="str">
        <f>IF(ISNA(INDEX($A$37:$T$103,MATCH($B155,$B$37:$B$103,0),1)),"",INDEX($A$37:$T$103,MATCH($B155,$B$37:$B$103,0),1))</f>
        <v>MMG9108</v>
      </c>
      <c r="B155" s="127" t="s">
        <v>142</v>
      </c>
      <c r="C155" s="127"/>
      <c r="D155" s="127"/>
      <c r="E155" s="127"/>
      <c r="F155" s="127"/>
      <c r="G155" s="127"/>
      <c r="H155" s="127"/>
      <c r="I155" s="127"/>
      <c r="J155" s="19">
        <f>IF(ISNA(INDEX($A$37:$T$103,MATCH($B155,$B$37:$B$103,0),10)),"",INDEX($A$37:$T$103,MATCH($B155,$B$37:$B$103,0),10))</f>
        <v>4</v>
      </c>
      <c r="K155" s="19">
        <f>IF(ISNA(INDEX($A$37:$T$103,MATCH($B155,$B$37:$B$103,0),11)),"",INDEX($A$37:$T$103,MATCH($B155,$B$37:$B$103,0),11))</f>
        <v>0</v>
      </c>
      <c r="L155" s="19">
        <f>IF(ISNA(INDEX($A$37:$T$103,MATCH($B155,$B$37:$B$103,0),12)),"",INDEX($A$37:$T$103,MATCH($B155,$B$37:$B$103,0),12))</f>
        <v>2</v>
      </c>
      <c r="M155" s="19">
        <f>IF(ISNA(INDEX($A$37:$T$103,MATCH($B155,$B$37:$B$103,0),13)),"",INDEX($A$37:$T$103,MATCH($B155,$B$37:$B$103,0),13))</f>
        <v>1</v>
      </c>
      <c r="N155" s="19">
        <f>IF(ISNA(INDEX($A$37:$T$103,MATCH($B155,$B$37:$B$103,0),14)),"",INDEX($A$37:$T$103,MATCH($B155,$B$37:$B$103,0),14))</f>
        <v>3</v>
      </c>
      <c r="O155" s="19">
        <f>IF(ISNA(INDEX($A$37:$T$103,MATCH($B155,$B$37:$B$103,0),15)),"",INDEX($A$37:$T$103,MATCH($B155,$B$37:$B$103,0),15))</f>
        <v>4</v>
      </c>
      <c r="P155" s="19">
        <f>IF(ISNA(INDEX($A$37:$T$103,MATCH($B155,$B$37:$B$103,0),16)),"",INDEX($A$37:$T$103,MATCH($B155,$B$37:$B$103,0),16))</f>
        <v>7</v>
      </c>
      <c r="Q155" s="29" t="str">
        <f>IF(ISNA(INDEX($A$37:$T$103,MATCH($B155,$B$37:$B$103,0),17)),"",INDEX($A$37:$T$103,MATCH($B155,$B$37:$B$103,0),17))</f>
        <v>E</v>
      </c>
      <c r="R155" s="29">
        <f>IF(ISNA(INDEX($A$37:$T$103,MATCH($B155,$B$37:$B$103,0),18)),"",INDEX($A$37:$T$103,MATCH($B155,$B$37:$B$103,0),18))</f>
        <v>0</v>
      </c>
      <c r="S155" s="29">
        <f>IF(ISNA(INDEX($A$37:$T$103,MATCH($B155,$B$37:$B$103,0),19)),"",INDEX($A$37:$T$103,MATCH($B155,$B$37:$B$103,0),19))</f>
        <v>0</v>
      </c>
      <c r="T155" s="18" t="s">
        <v>39</v>
      </c>
    </row>
    <row r="156" spans="1:20" x14ac:dyDescent="0.25">
      <c r="A156" s="21" t="s">
        <v>25</v>
      </c>
      <c r="B156" s="151"/>
      <c r="C156" s="152"/>
      <c r="D156" s="152"/>
      <c r="E156" s="152"/>
      <c r="F156" s="152"/>
      <c r="G156" s="152"/>
      <c r="H156" s="152"/>
      <c r="I156" s="153"/>
      <c r="J156" s="23">
        <f t="shared" ref="J156:P156" si="54">SUM(J152:J155)</f>
        <v>20</v>
      </c>
      <c r="K156" s="23">
        <f t="shared" si="54"/>
        <v>2</v>
      </c>
      <c r="L156" s="23">
        <f t="shared" si="54"/>
        <v>7</v>
      </c>
      <c r="M156" s="23">
        <f t="shared" si="54"/>
        <v>3</v>
      </c>
      <c r="N156" s="23">
        <f t="shared" si="54"/>
        <v>12</v>
      </c>
      <c r="O156" s="23">
        <f t="shared" si="54"/>
        <v>23</v>
      </c>
      <c r="P156" s="23">
        <f t="shared" si="54"/>
        <v>35</v>
      </c>
      <c r="Q156" s="21">
        <f>COUNTIF(Q152:Q155,"E")</f>
        <v>4</v>
      </c>
      <c r="R156" s="21">
        <f>COUNTIF(R152:R155,"C")</f>
        <v>0</v>
      </c>
      <c r="S156" s="21">
        <f>COUNTIF(S152:S155,"VP")</f>
        <v>0</v>
      </c>
      <c r="T156" s="18"/>
    </row>
    <row r="157" spans="1:20" x14ac:dyDescent="0.25">
      <c r="A157" s="95" t="s">
        <v>64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96"/>
    </row>
    <row r="158" spans="1:20" ht="25.5" customHeight="1" x14ac:dyDescent="0.25">
      <c r="A158" s="33" t="str">
        <f>IF(ISNA(INDEX($A$37:$T$103,MATCH($B158,$B$37:$B$103,0),1)),"",INDEX($A$37:$T$103,MATCH($B158,$B$37:$B$103,0),1))</f>
        <v/>
      </c>
      <c r="B158" s="127"/>
      <c r="C158" s="127"/>
      <c r="D158" s="127"/>
      <c r="E158" s="127"/>
      <c r="F158" s="127"/>
      <c r="G158" s="127"/>
      <c r="H158" s="127"/>
      <c r="I158" s="127"/>
      <c r="J158" s="19" t="str">
        <f>IF(ISNA(INDEX($A$37:$T$103,MATCH($B158,$B$37:$B$103,0),10)),"",INDEX($A$37:$T$103,MATCH($B158,$B$37:$B$103,0),10))</f>
        <v/>
      </c>
      <c r="K158" s="19" t="str">
        <f>IF(ISNA(INDEX($A$37:$T$103,MATCH($B158,$B$37:$B$103,0),11)),"",INDEX($A$37:$T$103,MATCH($B158,$B$37:$B$103,0),11))</f>
        <v/>
      </c>
      <c r="L158" s="19" t="str">
        <f>IF(ISNA(INDEX($A$37:$T$103,MATCH($B158,$B$37:$B$103,0),12)),"",INDEX($A$37:$T$103,MATCH($B158,$B$37:$B$103,0),12))</f>
        <v/>
      </c>
      <c r="M158" s="19" t="str">
        <f>IF(ISNA(INDEX($A$37:$T$103,MATCH($B158,$B$37:$B$103,0),13)),"",INDEX($A$37:$T$103,MATCH($B158,$B$37:$B$103,0),13))</f>
        <v/>
      </c>
      <c r="N158" s="19" t="str">
        <f>IF(ISNA(INDEX($A$37:$T$103,MATCH($B158,$B$37:$B$103,0),14)),"",INDEX($A$37:$T$103,MATCH($B158,$B$37:$B$103,0),14))</f>
        <v/>
      </c>
      <c r="O158" s="19" t="str">
        <f>IF(ISNA(INDEX($A$37:$T$103,MATCH($B158,$B$37:$B$103,0),15)),"",INDEX($A$37:$T$103,MATCH($B158,$B$37:$B$103,0),15))</f>
        <v/>
      </c>
      <c r="P158" s="19" t="str">
        <f>IF(ISNA(INDEX($A$37:$T$103,MATCH($B158,$B$37:$B$103,0),16)),"",INDEX($A$37:$T$103,MATCH($B158,$B$37:$B$103,0),16))</f>
        <v/>
      </c>
      <c r="Q158" s="29" t="str">
        <f>IF(ISNA(INDEX($A$37:$T$103,MATCH($B158,$B$37:$B$103,0),17)),"",INDEX($A$37:$T$103,MATCH($B158,$B$37:$B$103,0),17))</f>
        <v/>
      </c>
      <c r="R158" s="29" t="str">
        <f>IF(ISNA(INDEX($A$37:$T$103,MATCH($B158,$B$37:$B$103,0),18)),"",INDEX($A$37:$T$103,MATCH($B158,$B$37:$B$103,0),18))</f>
        <v/>
      </c>
      <c r="S158" s="29" t="str">
        <f>IF(ISNA(INDEX($A$37:$T$103,MATCH($B158,$B$37:$B$103,0),19)),"",INDEX($A$37:$T$103,MATCH($B158,$B$37:$B$103,0),19))</f>
        <v/>
      </c>
      <c r="T158" s="18" t="s">
        <v>39</v>
      </c>
    </row>
    <row r="159" spans="1:20" ht="13.5" customHeight="1" x14ac:dyDescent="0.25">
      <c r="A159" s="21" t="s">
        <v>25</v>
      </c>
      <c r="B159" s="126"/>
      <c r="C159" s="126"/>
      <c r="D159" s="126"/>
      <c r="E159" s="126"/>
      <c r="F159" s="126"/>
      <c r="G159" s="126"/>
      <c r="H159" s="126"/>
      <c r="I159" s="126"/>
      <c r="J159" s="23">
        <f t="shared" ref="J159:P159" si="55">SUM(J158:J158)</f>
        <v>0</v>
      </c>
      <c r="K159" s="23">
        <f t="shared" si="55"/>
        <v>0</v>
      </c>
      <c r="L159" s="23">
        <f t="shared" si="55"/>
        <v>0</v>
      </c>
      <c r="M159" s="23">
        <f t="shared" si="55"/>
        <v>0</v>
      </c>
      <c r="N159" s="23">
        <f t="shared" si="55"/>
        <v>0</v>
      </c>
      <c r="O159" s="23">
        <f t="shared" si="55"/>
        <v>0</v>
      </c>
      <c r="P159" s="23">
        <f t="shared" si="55"/>
        <v>0</v>
      </c>
      <c r="Q159" s="21">
        <f>COUNTIF(Q158:Q158,"E")</f>
        <v>0</v>
      </c>
      <c r="R159" s="21">
        <f>COUNTIF(R158:R158,"C")</f>
        <v>0</v>
      </c>
      <c r="S159" s="21">
        <f>COUNTIF(S158:S158,"VP")</f>
        <v>0</v>
      </c>
      <c r="T159" s="22"/>
    </row>
    <row r="160" spans="1:20" ht="16.5" customHeight="1" x14ac:dyDescent="0.25">
      <c r="A160" s="128" t="s">
        <v>73</v>
      </c>
      <c r="B160" s="129"/>
      <c r="C160" s="129"/>
      <c r="D160" s="129"/>
      <c r="E160" s="129"/>
      <c r="F160" s="129"/>
      <c r="G160" s="129"/>
      <c r="H160" s="129"/>
      <c r="I160" s="130"/>
      <c r="J160" s="23">
        <f t="shared" ref="J160:S160" si="56">SUM(J156,J159)</f>
        <v>20</v>
      </c>
      <c r="K160" s="23">
        <f t="shared" si="56"/>
        <v>2</v>
      </c>
      <c r="L160" s="23">
        <f t="shared" si="56"/>
        <v>7</v>
      </c>
      <c r="M160" s="23">
        <f t="shared" si="56"/>
        <v>3</v>
      </c>
      <c r="N160" s="23">
        <f t="shared" si="56"/>
        <v>12</v>
      </c>
      <c r="O160" s="23">
        <f t="shared" si="56"/>
        <v>23</v>
      </c>
      <c r="P160" s="23">
        <f t="shared" si="56"/>
        <v>35</v>
      </c>
      <c r="Q160" s="23">
        <f t="shared" si="56"/>
        <v>4</v>
      </c>
      <c r="R160" s="23">
        <f t="shared" si="56"/>
        <v>0</v>
      </c>
      <c r="S160" s="23">
        <f t="shared" si="56"/>
        <v>0</v>
      </c>
      <c r="T160" s="28"/>
    </row>
    <row r="161" spans="1:34" ht="8.25" customHeight="1" x14ac:dyDescent="0.25">
      <c r="A161" s="137" t="s">
        <v>48</v>
      </c>
      <c r="B161" s="138"/>
      <c r="C161" s="138"/>
      <c r="D161" s="138"/>
      <c r="E161" s="138"/>
      <c r="F161" s="138"/>
      <c r="G161" s="138"/>
      <c r="H161" s="138"/>
      <c r="I161" s="138"/>
      <c r="J161" s="139"/>
      <c r="K161" s="23">
        <f t="shared" ref="K161:P161" si="57">K156*14+K159*12</f>
        <v>28</v>
      </c>
      <c r="L161" s="23">
        <f t="shared" si="57"/>
        <v>98</v>
      </c>
      <c r="M161" s="23">
        <f t="shared" si="57"/>
        <v>42</v>
      </c>
      <c r="N161" s="23">
        <f t="shared" si="57"/>
        <v>168</v>
      </c>
      <c r="O161" s="23">
        <f t="shared" si="57"/>
        <v>322</v>
      </c>
      <c r="P161" s="23">
        <f t="shared" si="57"/>
        <v>490</v>
      </c>
      <c r="Q161" s="143"/>
      <c r="R161" s="144"/>
      <c r="S161" s="144"/>
      <c r="T161" s="145"/>
    </row>
    <row r="162" spans="1:34" x14ac:dyDescent="0.25">
      <c r="A162" s="140"/>
      <c r="B162" s="141"/>
      <c r="C162" s="141"/>
      <c r="D162" s="141"/>
      <c r="E162" s="141"/>
      <c r="F162" s="141"/>
      <c r="G162" s="141"/>
      <c r="H162" s="141"/>
      <c r="I162" s="141"/>
      <c r="J162" s="142"/>
      <c r="K162" s="131">
        <f>SUM(K161:M161)</f>
        <v>168</v>
      </c>
      <c r="L162" s="132"/>
      <c r="M162" s="133"/>
      <c r="N162" s="134">
        <f>SUM(N161:O161)</f>
        <v>490</v>
      </c>
      <c r="O162" s="135"/>
      <c r="P162" s="136"/>
      <c r="Q162" s="146"/>
      <c r="R162" s="147"/>
      <c r="S162" s="147"/>
      <c r="T162" s="148"/>
    </row>
    <row r="164" spans="1:34" ht="12" customHeight="1" x14ac:dyDescent="0.25">
      <c r="B164" s="2"/>
      <c r="C164" s="2"/>
      <c r="D164" s="2"/>
      <c r="E164" s="2"/>
      <c r="F164" s="2"/>
      <c r="G164" s="2"/>
      <c r="M164" s="8"/>
      <c r="N164" s="8"/>
      <c r="O164" s="8"/>
      <c r="P164" s="8"/>
      <c r="Q164" s="8"/>
      <c r="R164" s="8"/>
      <c r="S164" s="8"/>
    </row>
    <row r="165" spans="1:34" x14ac:dyDescent="0.25">
      <c r="B165" s="8"/>
      <c r="C165" s="8"/>
      <c r="D165" s="8"/>
      <c r="E165" s="8"/>
      <c r="F165" s="8"/>
      <c r="G165" s="8"/>
      <c r="H165" s="16"/>
      <c r="I165" s="16"/>
      <c r="J165" s="16"/>
      <c r="M165" s="8"/>
      <c r="N165" s="8"/>
      <c r="O165" s="8"/>
      <c r="P165" s="8"/>
      <c r="Q165" s="8"/>
      <c r="R165" s="8"/>
      <c r="S165" s="8"/>
    </row>
    <row r="167" spans="1:34" x14ac:dyDescent="0.25">
      <c r="B167" s="8"/>
      <c r="C167" s="8"/>
      <c r="D167" s="8"/>
      <c r="E167" s="8"/>
      <c r="F167" s="8"/>
      <c r="G167" s="8"/>
      <c r="H167" s="16"/>
      <c r="I167" s="16"/>
      <c r="J167" s="16"/>
      <c r="M167" s="8"/>
      <c r="N167" s="8"/>
      <c r="O167" s="8"/>
      <c r="P167" s="8"/>
      <c r="Q167" s="8"/>
      <c r="R167" s="8"/>
      <c r="S167" s="8"/>
    </row>
    <row r="169" spans="1:34" x14ac:dyDescent="0.25">
      <c r="A169" s="149" t="s">
        <v>59</v>
      </c>
      <c r="B169" s="149"/>
    </row>
    <row r="170" spans="1:34" x14ac:dyDescent="0.25">
      <c r="A170" s="118" t="s">
        <v>27</v>
      </c>
      <c r="B170" s="120" t="s">
        <v>51</v>
      </c>
      <c r="C170" s="121"/>
      <c r="D170" s="121"/>
      <c r="E170" s="121"/>
      <c r="F170" s="121"/>
      <c r="G170" s="122"/>
      <c r="H170" s="120" t="s">
        <v>54</v>
      </c>
      <c r="I170" s="122"/>
      <c r="J170" s="101" t="s">
        <v>55</v>
      </c>
      <c r="K170" s="102"/>
      <c r="L170" s="102"/>
      <c r="M170" s="102"/>
      <c r="N170" s="102"/>
      <c r="O170" s="103"/>
      <c r="P170" s="120" t="s">
        <v>47</v>
      </c>
      <c r="Q170" s="122"/>
      <c r="R170" s="101" t="s">
        <v>56</v>
      </c>
      <c r="S170" s="102"/>
      <c r="T170" s="103"/>
    </row>
    <row r="171" spans="1:34" x14ac:dyDescent="0.25">
      <c r="A171" s="119"/>
      <c r="B171" s="123"/>
      <c r="C171" s="124"/>
      <c r="D171" s="124"/>
      <c r="E171" s="124"/>
      <c r="F171" s="124"/>
      <c r="G171" s="125"/>
      <c r="H171" s="123"/>
      <c r="I171" s="125"/>
      <c r="J171" s="101" t="s">
        <v>34</v>
      </c>
      <c r="K171" s="103"/>
      <c r="L171" s="101" t="s">
        <v>7</v>
      </c>
      <c r="M171" s="103"/>
      <c r="N171" s="101" t="s">
        <v>31</v>
      </c>
      <c r="O171" s="103"/>
      <c r="P171" s="123"/>
      <c r="Q171" s="125"/>
      <c r="R171" s="36" t="s">
        <v>57</v>
      </c>
      <c r="S171" s="101" t="s">
        <v>58</v>
      </c>
      <c r="T171" s="103"/>
      <c r="U171" s="230" t="str">
        <f>IF(N173=P97,"Corect","Nu corespunde cu tabelul de opționale")</f>
        <v>Corect</v>
      </c>
      <c r="V171" s="231"/>
      <c r="W171" s="231"/>
      <c r="X171" s="231"/>
    </row>
    <row r="172" spans="1:34" x14ac:dyDescent="0.25">
      <c r="A172" s="36">
        <v>1</v>
      </c>
      <c r="B172" s="101" t="s">
        <v>52</v>
      </c>
      <c r="C172" s="102"/>
      <c r="D172" s="102"/>
      <c r="E172" s="102"/>
      <c r="F172" s="102"/>
      <c r="G172" s="103"/>
      <c r="H172" s="104">
        <f>J172</f>
        <v>666</v>
      </c>
      <c r="I172" s="104"/>
      <c r="J172" s="105">
        <f>SUM((N45+N55+N65)*14+(N73*12)-J173)</f>
        <v>666</v>
      </c>
      <c r="K172" s="106"/>
      <c r="L172" s="105">
        <f>SUM((O45+O55+O65)*14+(O73*12)-L173)</f>
        <v>1784</v>
      </c>
      <c r="M172" s="106"/>
      <c r="N172" s="107">
        <f>SUM(J172:M172)</f>
        <v>2450</v>
      </c>
      <c r="O172" s="108"/>
      <c r="P172" s="109">
        <f>H172/H174</f>
        <v>0.84090909090909094</v>
      </c>
      <c r="Q172" s="110"/>
      <c r="R172" s="37">
        <f>J45+J55-R173</f>
        <v>46</v>
      </c>
      <c r="S172" s="111">
        <f>J65+J73-S173</f>
        <v>53</v>
      </c>
      <c r="T172" s="112"/>
    </row>
    <row r="173" spans="1:34" x14ac:dyDescent="0.25">
      <c r="A173" s="36">
        <v>2</v>
      </c>
      <c r="B173" s="101" t="s">
        <v>53</v>
      </c>
      <c r="C173" s="102"/>
      <c r="D173" s="102"/>
      <c r="E173" s="102"/>
      <c r="F173" s="102"/>
      <c r="G173" s="103"/>
      <c r="H173" s="104">
        <f>J173</f>
        <v>126</v>
      </c>
      <c r="I173" s="104"/>
      <c r="J173" s="113">
        <f>N97</f>
        <v>126</v>
      </c>
      <c r="K173" s="114"/>
      <c r="L173" s="113">
        <f>O97</f>
        <v>448</v>
      </c>
      <c r="M173" s="114"/>
      <c r="N173" s="115">
        <f>SUM(J173:M173)</f>
        <v>574</v>
      </c>
      <c r="O173" s="108"/>
      <c r="P173" s="109">
        <f>H173/H174</f>
        <v>0.15909090909090909</v>
      </c>
      <c r="Q173" s="110"/>
      <c r="R173" s="17">
        <v>14</v>
      </c>
      <c r="S173" s="116">
        <v>7</v>
      </c>
      <c r="T173" s="117"/>
    </row>
    <row r="174" spans="1:34" x14ac:dyDescent="0.25">
      <c r="A174" s="101" t="s">
        <v>25</v>
      </c>
      <c r="B174" s="102"/>
      <c r="C174" s="102"/>
      <c r="D174" s="102"/>
      <c r="E174" s="102"/>
      <c r="F174" s="102"/>
      <c r="G174" s="103"/>
      <c r="H174" s="94">
        <f>SUM(H172:I173)</f>
        <v>792</v>
      </c>
      <c r="I174" s="94"/>
      <c r="J174" s="94">
        <f>SUM(J172:K173)</f>
        <v>792</v>
      </c>
      <c r="K174" s="94"/>
      <c r="L174" s="95">
        <f>SUM(L172:M173)</f>
        <v>2232</v>
      </c>
      <c r="M174" s="96"/>
      <c r="N174" s="95">
        <f>SUM(N172:O173)</f>
        <v>3024</v>
      </c>
      <c r="O174" s="96"/>
      <c r="P174" s="97">
        <f>SUM(P172:Q173)</f>
        <v>1</v>
      </c>
      <c r="Q174" s="98"/>
      <c r="R174" s="38">
        <f>SUM(R172:R173)</f>
        <v>60</v>
      </c>
      <c r="S174" s="99">
        <f>SUM(S172:T173)</f>
        <v>60</v>
      </c>
      <c r="T174" s="100"/>
    </row>
    <row r="176" spans="1:34" ht="12.75" customHeight="1" x14ac:dyDescent="0.25">
      <c r="A176" s="93" t="s">
        <v>79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62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</row>
    <row r="177" spans="1:34" ht="27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</row>
    <row r="178" spans="1:34" x14ac:dyDescent="0.25">
      <c r="A178" s="92" t="s">
        <v>74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</row>
    <row r="179" spans="1:34" x14ac:dyDescent="0.25">
      <c r="A179" s="92" t="s">
        <v>27</v>
      </c>
      <c r="B179" s="92" t="s">
        <v>26</v>
      </c>
      <c r="C179" s="92"/>
      <c r="D179" s="92"/>
      <c r="E179" s="92"/>
      <c r="F179" s="92"/>
      <c r="G179" s="92"/>
      <c r="H179" s="92"/>
      <c r="I179" s="92"/>
      <c r="J179" s="155" t="s">
        <v>40</v>
      </c>
      <c r="K179" s="155" t="s">
        <v>24</v>
      </c>
      <c r="L179" s="155"/>
      <c r="M179" s="155"/>
      <c r="N179" s="155" t="s">
        <v>41</v>
      </c>
      <c r="O179" s="170"/>
      <c r="P179" s="170"/>
      <c r="Q179" s="155" t="s">
        <v>23</v>
      </c>
      <c r="R179" s="155"/>
      <c r="S179" s="155"/>
      <c r="T179" s="155" t="s">
        <v>22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</row>
    <row r="180" spans="1:34" s="44" customFormat="1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155"/>
      <c r="K180" s="50" t="s">
        <v>28</v>
      </c>
      <c r="L180" s="50" t="s">
        <v>29</v>
      </c>
      <c r="M180" s="50" t="s">
        <v>30</v>
      </c>
      <c r="N180" s="50" t="s">
        <v>34</v>
      </c>
      <c r="O180" s="50" t="s">
        <v>7</v>
      </c>
      <c r="P180" s="50" t="s">
        <v>31</v>
      </c>
      <c r="Q180" s="50" t="s">
        <v>32</v>
      </c>
      <c r="R180" s="50" t="s">
        <v>28</v>
      </c>
      <c r="S180" s="50" t="s">
        <v>33</v>
      </c>
      <c r="T180" s="155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</row>
    <row r="181" spans="1:34" x14ac:dyDescent="0.25">
      <c r="A181" s="229" t="s">
        <v>75</v>
      </c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</row>
    <row r="182" spans="1:34" x14ac:dyDescent="0.25">
      <c r="A182" s="45" t="s">
        <v>68</v>
      </c>
      <c r="B182" s="57" t="s">
        <v>80</v>
      </c>
      <c r="C182" s="57"/>
      <c r="D182" s="57"/>
      <c r="E182" s="57"/>
      <c r="F182" s="57"/>
      <c r="G182" s="57"/>
      <c r="H182" s="57"/>
      <c r="I182" s="57"/>
      <c r="J182" s="41">
        <v>5</v>
      </c>
      <c r="K182" s="41">
        <v>2</v>
      </c>
      <c r="L182" s="41">
        <v>1</v>
      </c>
      <c r="M182" s="41">
        <v>0</v>
      </c>
      <c r="N182" s="42">
        <f>K182+L182+M182</f>
        <v>3</v>
      </c>
      <c r="O182" s="42">
        <f>P182-N182</f>
        <v>6</v>
      </c>
      <c r="P182" s="42">
        <f>ROUND(PRODUCT(J182,25)/14,0)</f>
        <v>9</v>
      </c>
      <c r="Q182" s="41" t="s">
        <v>32</v>
      </c>
      <c r="R182" s="41"/>
      <c r="S182" s="43"/>
      <c r="T182" s="43" t="s">
        <v>37</v>
      </c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:34" ht="36" customHeight="1" x14ac:dyDescent="0.25">
      <c r="A183" s="45" t="s">
        <v>69</v>
      </c>
      <c r="B183" s="57" t="s">
        <v>81</v>
      </c>
      <c r="C183" s="57"/>
      <c r="D183" s="57"/>
      <c r="E183" s="57"/>
      <c r="F183" s="57"/>
      <c r="G183" s="57"/>
      <c r="H183" s="57"/>
      <c r="I183" s="57"/>
      <c r="J183" s="41">
        <v>5</v>
      </c>
      <c r="K183" s="41">
        <v>2</v>
      </c>
      <c r="L183" s="41">
        <v>1</v>
      </c>
      <c r="M183" s="41">
        <v>0</v>
      </c>
      <c r="N183" s="42">
        <f>K183+L183+M183</f>
        <v>3</v>
      </c>
      <c r="O183" s="42">
        <f>P183-N183</f>
        <v>6</v>
      </c>
      <c r="P183" s="42">
        <f>ROUND(PRODUCT(J183,25)/14,0)</f>
        <v>9</v>
      </c>
      <c r="Q183" s="41" t="s">
        <v>32</v>
      </c>
      <c r="R183" s="41"/>
      <c r="S183" s="43"/>
      <c r="T183" s="43" t="s">
        <v>37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:34" s="44" customFormat="1" ht="15" customHeight="1" x14ac:dyDescent="0.25">
      <c r="A184" s="65" t="s">
        <v>76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7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:34" x14ac:dyDescent="0.25">
      <c r="A185" s="45" t="s">
        <v>70</v>
      </c>
      <c r="B185" s="68" t="s">
        <v>94</v>
      </c>
      <c r="C185" s="69"/>
      <c r="D185" s="69"/>
      <c r="E185" s="69"/>
      <c r="F185" s="69"/>
      <c r="G185" s="69"/>
      <c r="H185" s="69"/>
      <c r="I185" s="70"/>
      <c r="J185" s="41">
        <v>5</v>
      </c>
      <c r="K185" s="41">
        <v>2</v>
      </c>
      <c r="L185" s="41">
        <v>1</v>
      </c>
      <c r="M185" s="41">
        <v>0</v>
      </c>
      <c r="N185" s="42">
        <f>K185+L185+M185</f>
        <v>3</v>
      </c>
      <c r="O185" s="42">
        <f>P185-N185</f>
        <v>6</v>
      </c>
      <c r="P185" s="42">
        <f>ROUND(PRODUCT(J185,25)/14,0)</f>
        <v>9</v>
      </c>
      <c r="Q185" s="41" t="s">
        <v>32</v>
      </c>
      <c r="R185" s="41"/>
      <c r="S185" s="43"/>
      <c r="T185" s="43" t="s">
        <v>82</v>
      </c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</row>
    <row r="186" spans="1:34" s="44" customFormat="1" ht="29.25" customHeight="1" x14ac:dyDescent="0.25">
      <c r="A186" s="45" t="s">
        <v>71</v>
      </c>
      <c r="B186" s="68" t="s">
        <v>95</v>
      </c>
      <c r="C186" s="69"/>
      <c r="D186" s="69"/>
      <c r="E186" s="69"/>
      <c r="F186" s="69"/>
      <c r="G186" s="69"/>
      <c r="H186" s="69"/>
      <c r="I186" s="70"/>
      <c r="J186" s="41">
        <v>5</v>
      </c>
      <c r="K186" s="41">
        <v>1</v>
      </c>
      <c r="L186" s="41">
        <v>2</v>
      </c>
      <c r="M186" s="41">
        <v>0</v>
      </c>
      <c r="N186" s="42">
        <f>K186+L186+M186</f>
        <v>3</v>
      </c>
      <c r="O186" s="42">
        <f>P186-N186</f>
        <v>6</v>
      </c>
      <c r="P186" s="42">
        <f>ROUND(PRODUCT(J186,25)/14,0)</f>
        <v>9</v>
      </c>
      <c r="Q186" s="41" t="s">
        <v>32</v>
      </c>
      <c r="R186" s="41"/>
      <c r="S186" s="43"/>
      <c r="T186" s="43" t="s">
        <v>83</v>
      </c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</row>
    <row r="187" spans="1:34" ht="18" customHeight="1" x14ac:dyDescent="0.25">
      <c r="A187" s="65" t="s">
        <v>77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:34" x14ac:dyDescent="0.25">
      <c r="A188" s="45" t="s">
        <v>85</v>
      </c>
      <c r="B188" s="58" t="s">
        <v>84</v>
      </c>
      <c r="C188" s="59"/>
      <c r="D188" s="59"/>
      <c r="E188" s="59"/>
      <c r="F188" s="59"/>
      <c r="G188" s="59"/>
      <c r="H188" s="59"/>
      <c r="I188" s="60"/>
      <c r="J188" s="41">
        <v>5</v>
      </c>
      <c r="K188" s="41">
        <v>0</v>
      </c>
      <c r="L188" s="41">
        <v>0</v>
      </c>
      <c r="M188" s="41">
        <v>3</v>
      </c>
      <c r="N188" s="42">
        <f>K188+L188+M188</f>
        <v>3</v>
      </c>
      <c r="O188" s="42">
        <f>P188-N188</f>
        <v>6</v>
      </c>
      <c r="P188" s="42">
        <f>ROUND(PRODUCT(J188,25)/14,0)</f>
        <v>9</v>
      </c>
      <c r="Q188" s="41"/>
      <c r="R188" s="41" t="s">
        <v>28</v>
      </c>
      <c r="S188" s="43"/>
      <c r="T188" s="43" t="s">
        <v>82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:34" ht="18.75" customHeight="1" x14ac:dyDescent="0.25">
      <c r="A189" s="45" t="s">
        <v>86</v>
      </c>
      <c r="B189" s="68" t="s">
        <v>96</v>
      </c>
      <c r="C189" s="69"/>
      <c r="D189" s="69"/>
      <c r="E189" s="69"/>
      <c r="F189" s="69"/>
      <c r="G189" s="69"/>
      <c r="H189" s="69"/>
      <c r="I189" s="70"/>
      <c r="J189" s="41">
        <v>5</v>
      </c>
      <c r="K189" s="41">
        <v>1</v>
      </c>
      <c r="L189" s="41">
        <v>2</v>
      </c>
      <c r="M189" s="41">
        <v>0</v>
      </c>
      <c r="N189" s="42">
        <f>K189+L189+M189</f>
        <v>3</v>
      </c>
      <c r="O189" s="42">
        <f>P189-N189</f>
        <v>6</v>
      </c>
      <c r="P189" s="42">
        <f>ROUND(PRODUCT(J189,25)/14,0)</f>
        <v>9</v>
      </c>
      <c r="Q189" s="41" t="s">
        <v>32</v>
      </c>
      <c r="R189" s="41"/>
      <c r="S189" s="43"/>
      <c r="T189" s="43" t="s">
        <v>83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:34" ht="20.25" customHeight="1" x14ac:dyDescent="0.25">
      <c r="A190" s="71" t="s">
        <v>78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3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:34" ht="20.25" customHeight="1" x14ac:dyDescent="0.25">
      <c r="A191" s="45"/>
      <c r="B191" s="68" t="s">
        <v>72</v>
      </c>
      <c r="C191" s="69"/>
      <c r="D191" s="69"/>
      <c r="E191" s="69"/>
      <c r="F191" s="69"/>
      <c r="G191" s="69"/>
      <c r="H191" s="69"/>
      <c r="I191" s="70"/>
      <c r="J191" s="41">
        <v>5</v>
      </c>
      <c r="K191" s="41"/>
      <c r="L191" s="41"/>
      <c r="M191" s="41"/>
      <c r="N191" s="42"/>
      <c r="O191" s="42"/>
      <c r="P191" s="42"/>
      <c r="Q191" s="41"/>
      <c r="R191" s="41"/>
      <c r="S191" s="43"/>
      <c r="T191" s="46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</row>
    <row r="192" spans="1:34" ht="20.25" customHeight="1" x14ac:dyDescent="0.25">
      <c r="A192" s="74" t="s">
        <v>73</v>
      </c>
      <c r="B192" s="75"/>
      <c r="C192" s="75"/>
      <c r="D192" s="75"/>
      <c r="E192" s="75"/>
      <c r="F192" s="75"/>
      <c r="G192" s="75"/>
      <c r="H192" s="75"/>
      <c r="I192" s="76"/>
      <c r="J192" s="47">
        <f>SUM(J182:J183,J185:J186,J188:J189,J191)</f>
        <v>35</v>
      </c>
      <c r="K192" s="47">
        <f t="shared" ref="K192:P192" si="58">SUM(K182:K183,K185:K186,K188:K189,K191)</f>
        <v>8</v>
      </c>
      <c r="L192" s="47">
        <f t="shared" si="58"/>
        <v>7</v>
      </c>
      <c r="M192" s="47">
        <f t="shared" si="58"/>
        <v>3</v>
      </c>
      <c r="N192" s="47">
        <f t="shared" si="58"/>
        <v>18</v>
      </c>
      <c r="O192" s="47">
        <f t="shared" si="58"/>
        <v>36</v>
      </c>
      <c r="P192" s="47">
        <f t="shared" si="58"/>
        <v>54</v>
      </c>
      <c r="Q192" s="49">
        <f>COUNTIF(Q182:Q183,"E")+COUNTIF(Q185:Q186,"E")+COUNTIF(Q188:Q189,"E")+COUNTIF(Q191,"E")</f>
        <v>5</v>
      </c>
      <c r="R192" s="49">
        <f>COUNTIF(R182:R183,"C")+COUNTIF(R185:R186,"C")+COUNTIF(R188:R189,"C")+COUNTIF(R191,"C")</f>
        <v>1</v>
      </c>
      <c r="S192" s="49">
        <f>COUNTIF(S182:S183,"VP")+COUNTIF(S185:S186,"VP")+COUNTIF(S188:S189,"VP")+COUNTIF(S191,"VP")</f>
        <v>0</v>
      </c>
      <c r="T192" s="48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</row>
    <row r="193" spans="1:34" x14ac:dyDescent="0.25">
      <c r="A193" s="77" t="s">
        <v>48</v>
      </c>
      <c r="B193" s="78"/>
      <c r="C193" s="78"/>
      <c r="D193" s="78"/>
      <c r="E193" s="78"/>
      <c r="F193" s="78"/>
      <c r="G193" s="78"/>
      <c r="H193" s="78"/>
      <c r="I193" s="78"/>
      <c r="J193" s="79"/>
      <c r="K193" s="47">
        <f>SUM(K182:K183,K185:K186,K188:K189)*14</f>
        <v>112</v>
      </c>
      <c r="L193" s="47">
        <f t="shared" ref="L193:P193" si="59">SUM(L182:L183,L185:L186,L188:L189)*14</f>
        <v>98</v>
      </c>
      <c r="M193" s="47">
        <f t="shared" si="59"/>
        <v>42</v>
      </c>
      <c r="N193" s="47">
        <f t="shared" si="59"/>
        <v>252</v>
      </c>
      <c r="O193" s="47">
        <f t="shared" si="59"/>
        <v>504</v>
      </c>
      <c r="P193" s="47">
        <f t="shared" si="59"/>
        <v>756</v>
      </c>
      <c r="Q193" s="83"/>
      <c r="R193" s="84"/>
      <c r="S193" s="84"/>
      <c r="T193" s="85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:34" x14ac:dyDescent="0.25">
      <c r="A194" s="80"/>
      <c r="B194" s="81"/>
      <c r="C194" s="81"/>
      <c r="D194" s="81"/>
      <c r="E194" s="81"/>
      <c r="F194" s="81"/>
      <c r="G194" s="81"/>
      <c r="H194" s="81"/>
      <c r="I194" s="81"/>
      <c r="J194" s="82"/>
      <c r="K194" s="89">
        <f>SUM(K193:M193)</f>
        <v>252</v>
      </c>
      <c r="L194" s="90"/>
      <c r="M194" s="91"/>
      <c r="N194" s="89">
        <f>SUM(N193:O193)</f>
        <v>756</v>
      </c>
      <c r="O194" s="90"/>
      <c r="P194" s="91"/>
      <c r="Q194" s="86"/>
      <c r="R194" s="87"/>
      <c r="S194" s="87"/>
      <c r="T194" s="88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:34" x14ac:dyDescent="0.25"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:34" x14ac:dyDescent="0.25">
      <c r="A196" s="61" t="s">
        <v>87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:34" x14ac:dyDescent="0.25">
      <c r="A197" s="61" t="s">
        <v>88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</row>
    <row r="198" spans="1:34" x14ac:dyDescent="0.25">
      <c r="A198" s="61" t="s">
        <v>89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</row>
    <row r="199" spans="1:34" x14ac:dyDescent="0.25"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:34" x14ac:dyDescent="0.25"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:34" x14ac:dyDescent="0.25"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</sheetData>
  <sheetProtection formatCells="0" formatRows="0" insertRows="0"/>
  <mergeCells count="282">
    <mergeCell ref="B179:I180"/>
    <mergeCell ref="J179:J180"/>
    <mergeCell ref="K179:M179"/>
    <mergeCell ref="N179:P179"/>
    <mergeCell ref="Q179:S179"/>
    <mergeCell ref="T179:T180"/>
    <mergeCell ref="A181:T181"/>
    <mergeCell ref="U73:W73"/>
    <mergeCell ref="U171:X171"/>
    <mergeCell ref="B116:I116"/>
    <mergeCell ref="B118:I118"/>
    <mergeCell ref="A121:J122"/>
    <mergeCell ref="Q121:T122"/>
    <mergeCell ref="N122:P122"/>
    <mergeCell ref="K122:M122"/>
    <mergeCell ref="A120:I120"/>
    <mergeCell ref="B119:I119"/>
    <mergeCell ref="Q106:S106"/>
    <mergeCell ref="B110:I110"/>
    <mergeCell ref="B111:I111"/>
    <mergeCell ref="B112:I112"/>
    <mergeCell ref="B109:I109"/>
    <mergeCell ref="A108:T108"/>
    <mergeCell ref="T106:T107"/>
    <mergeCell ref="U4:X4"/>
    <mergeCell ref="U5:X5"/>
    <mergeCell ref="U3:X3"/>
    <mergeCell ref="U6:X6"/>
    <mergeCell ref="U28:V28"/>
    <mergeCell ref="U29:V29"/>
    <mergeCell ref="U45:W45"/>
    <mergeCell ref="U55:W55"/>
    <mergeCell ref="U65:W65"/>
    <mergeCell ref="U9:Z12"/>
    <mergeCell ref="U15:Z17"/>
    <mergeCell ref="U20:AA23"/>
    <mergeCell ref="AA16:AB16"/>
    <mergeCell ref="B113:I113"/>
    <mergeCell ref="B61:I61"/>
    <mergeCell ref="A57:T57"/>
    <mergeCell ref="J58:J59"/>
    <mergeCell ref="K58:M58"/>
    <mergeCell ref="A106:A107"/>
    <mergeCell ref="B106:I107"/>
    <mergeCell ref="J106:J107"/>
    <mergeCell ref="N58:P58"/>
    <mergeCell ref="Q58:S58"/>
    <mergeCell ref="T58:T59"/>
    <mergeCell ref="B70:I70"/>
    <mergeCell ref="B71:I71"/>
    <mergeCell ref="B72:I72"/>
    <mergeCell ref="A58:A59"/>
    <mergeCell ref="B58:I59"/>
    <mergeCell ref="A78:T78"/>
    <mergeCell ref="A81:T81"/>
    <mergeCell ref="A86:T86"/>
    <mergeCell ref="B85:I85"/>
    <mergeCell ref="A94:T94"/>
    <mergeCell ref="B95:I95"/>
    <mergeCell ref="K98:M98"/>
    <mergeCell ref="N98:P98"/>
    <mergeCell ref="Q97:T98"/>
    <mergeCell ref="M15:T15"/>
    <mergeCell ref="R6:T6"/>
    <mergeCell ref="M8:T11"/>
    <mergeCell ref="A15:K15"/>
    <mergeCell ref="J38:J39"/>
    <mergeCell ref="A37:T37"/>
    <mergeCell ref="M25:T31"/>
    <mergeCell ref="A20:K23"/>
    <mergeCell ref="M21:T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M17:T17"/>
    <mergeCell ref="M18:T18"/>
    <mergeCell ref="M13:T13"/>
    <mergeCell ref="M16:T16"/>
    <mergeCell ref="A11:K11"/>
    <mergeCell ref="O4:Q4"/>
    <mergeCell ref="M4:N4"/>
    <mergeCell ref="A10:K10"/>
    <mergeCell ref="M6:N6"/>
    <mergeCell ref="A7:K7"/>
    <mergeCell ref="A8:K8"/>
    <mergeCell ref="A9:K9"/>
    <mergeCell ref="A12:K12"/>
    <mergeCell ref="B55:I55"/>
    <mergeCell ref="B52:I52"/>
    <mergeCell ref="B53:I53"/>
    <mergeCell ref="B42:I42"/>
    <mergeCell ref="B40:I40"/>
    <mergeCell ref="B41:I41"/>
    <mergeCell ref="B45:I45"/>
    <mergeCell ref="B50:I50"/>
    <mergeCell ref="B51:I51"/>
    <mergeCell ref="B43:I43"/>
    <mergeCell ref="B44:I44"/>
    <mergeCell ref="B48:I49"/>
    <mergeCell ref="B54:I54"/>
    <mergeCell ref="A38:A39"/>
    <mergeCell ref="Q79:S79"/>
    <mergeCell ref="A30:K30"/>
    <mergeCell ref="R3:T3"/>
    <mergeCell ref="R4:T4"/>
    <mergeCell ref="R5:T5"/>
    <mergeCell ref="T68:T69"/>
    <mergeCell ref="B65:I65"/>
    <mergeCell ref="B68:I69"/>
    <mergeCell ref="B62:I62"/>
    <mergeCell ref="B63:I63"/>
    <mergeCell ref="B64:I64"/>
    <mergeCell ref="A67:T67"/>
    <mergeCell ref="J68:J69"/>
    <mergeCell ref="K68:M68"/>
    <mergeCell ref="N68:P68"/>
    <mergeCell ref="Q68:S68"/>
    <mergeCell ref="A68:A69"/>
    <mergeCell ref="B60:I60"/>
    <mergeCell ref="T38:T39"/>
    <mergeCell ref="N38:P38"/>
    <mergeCell ref="K38:M38"/>
    <mergeCell ref="T48:T49"/>
    <mergeCell ref="Q38:S38"/>
    <mergeCell ref="A47:T47"/>
    <mergeCell ref="B73:I73"/>
    <mergeCell ref="A1:K1"/>
    <mergeCell ref="A3:K3"/>
    <mergeCell ref="K48:M48"/>
    <mergeCell ref="M19:T19"/>
    <mergeCell ref="M1:T1"/>
    <mergeCell ref="M14:T14"/>
    <mergeCell ref="A4:K5"/>
    <mergeCell ref="A35:T35"/>
    <mergeCell ref="A19:K19"/>
    <mergeCell ref="A17:K17"/>
    <mergeCell ref="M3:N3"/>
    <mergeCell ref="M5:N5"/>
    <mergeCell ref="D26:F26"/>
    <mergeCell ref="A18:K18"/>
    <mergeCell ref="N48:P48"/>
    <mergeCell ref="Q48:S48"/>
    <mergeCell ref="J48:J49"/>
    <mergeCell ref="A48:A49"/>
    <mergeCell ref="A2:K2"/>
    <mergeCell ref="A6:K6"/>
    <mergeCell ref="O5:Q5"/>
    <mergeCell ref="O6:Q6"/>
    <mergeCell ref="O3:Q3"/>
    <mergeCell ref="A96:I96"/>
    <mergeCell ref="A97:J98"/>
    <mergeCell ref="B83:I83"/>
    <mergeCell ref="T79:T80"/>
    <mergeCell ref="B79:I80"/>
    <mergeCell ref="B115:I115"/>
    <mergeCell ref="B89:I89"/>
    <mergeCell ref="B84:I84"/>
    <mergeCell ref="B88:I88"/>
    <mergeCell ref="B92:I92"/>
    <mergeCell ref="B93:I93"/>
    <mergeCell ref="B91:I91"/>
    <mergeCell ref="A90:T90"/>
    <mergeCell ref="B87:I87"/>
    <mergeCell ref="B82:I82"/>
    <mergeCell ref="A105:T105"/>
    <mergeCell ref="A104:T104"/>
    <mergeCell ref="K106:M106"/>
    <mergeCell ref="N106:P106"/>
    <mergeCell ref="B114:I114"/>
    <mergeCell ref="J79:J80"/>
    <mergeCell ref="K79:M79"/>
    <mergeCell ref="N79:P79"/>
    <mergeCell ref="A79:A80"/>
    <mergeCell ref="A127:T127"/>
    <mergeCell ref="A130:T130"/>
    <mergeCell ref="B131:I131"/>
    <mergeCell ref="A128:A129"/>
    <mergeCell ref="B128:I129"/>
    <mergeCell ref="A117:T117"/>
    <mergeCell ref="J128:J129"/>
    <mergeCell ref="K128:M128"/>
    <mergeCell ref="T128:T129"/>
    <mergeCell ref="N128:P128"/>
    <mergeCell ref="B140:I140"/>
    <mergeCell ref="A141:I141"/>
    <mergeCell ref="Q128:S128"/>
    <mergeCell ref="B138:I138"/>
    <mergeCell ref="B139:I139"/>
    <mergeCell ref="B135:I135"/>
    <mergeCell ref="A136:T136"/>
    <mergeCell ref="B137:I137"/>
    <mergeCell ref="B132:I132"/>
    <mergeCell ref="B133:I133"/>
    <mergeCell ref="B134:I134"/>
    <mergeCell ref="A151:T151"/>
    <mergeCell ref="B152:I152"/>
    <mergeCell ref="B153:I153"/>
    <mergeCell ref="B156:I156"/>
    <mergeCell ref="A157:T157"/>
    <mergeCell ref="B154:I154"/>
    <mergeCell ref="A142:J143"/>
    <mergeCell ref="A149:A150"/>
    <mergeCell ref="A148:T148"/>
    <mergeCell ref="J149:J150"/>
    <mergeCell ref="K149:M149"/>
    <mergeCell ref="N149:P149"/>
    <mergeCell ref="Q142:T143"/>
    <mergeCell ref="K143:M143"/>
    <mergeCell ref="N143:P143"/>
    <mergeCell ref="B149:I150"/>
    <mergeCell ref="Q149:S149"/>
    <mergeCell ref="T149:T150"/>
    <mergeCell ref="B159:I159"/>
    <mergeCell ref="B158:I158"/>
    <mergeCell ref="A160:I160"/>
    <mergeCell ref="K162:M162"/>
    <mergeCell ref="N162:P162"/>
    <mergeCell ref="B155:I155"/>
    <mergeCell ref="A161:J162"/>
    <mergeCell ref="Q161:T162"/>
    <mergeCell ref="A169:B169"/>
    <mergeCell ref="A170:A171"/>
    <mergeCell ref="B170:G171"/>
    <mergeCell ref="H170:I171"/>
    <mergeCell ref="J170:O170"/>
    <mergeCell ref="P170:Q171"/>
    <mergeCell ref="R170:T170"/>
    <mergeCell ref="J171:K171"/>
    <mergeCell ref="L171:M171"/>
    <mergeCell ref="N171:O171"/>
    <mergeCell ref="S171:T171"/>
    <mergeCell ref="H174:I174"/>
    <mergeCell ref="J174:K174"/>
    <mergeCell ref="L174:M174"/>
    <mergeCell ref="N174:O174"/>
    <mergeCell ref="P174:Q174"/>
    <mergeCell ref="S174:T174"/>
    <mergeCell ref="B172:G172"/>
    <mergeCell ref="H172:I172"/>
    <mergeCell ref="J172:K172"/>
    <mergeCell ref="L172:M172"/>
    <mergeCell ref="N172:O172"/>
    <mergeCell ref="P172:Q172"/>
    <mergeCell ref="S172:T172"/>
    <mergeCell ref="B173:G173"/>
    <mergeCell ref="H173:I173"/>
    <mergeCell ref="J173:K173"/>
    <mergeCell ref="L173:M173"/>
    <mergeCell ref="N173:O173"/>
    <mergeCell ref="P173:Q173"/>
    <mergeCell ref="S173:T173"/>
    <mergeCell ref="A174:G174"/>
    <mergeCell ref="B182:I182"/>
    <mergeCell ref="B188:I188"/>
    <mergeCell ref="A196:T196"/>
    <mergeCell ref="A197:T197"/>
    <mergeCell ref="A198:T198"/>
    <mergeCell ref="U176:AH177"/>
    <mergeCell ref="U178:AA201"/>
    <mergeCell ref="AB178:AH201"/>
    <mergeCell ref="A184:T184"/>
    <mergeCell ref="B185:I185"/>
    <mergeCell ref="A187:T187"/>
    <mergeCell ref="B189:I189"/>
    <mergeCell ref="A190:T190"/>
    <mergeCell ref="B191:I191"/>
    <mergeCell ref="A192:I192"/>
    <mergeCell ref="A193:J194"/>
    <mergeCell ref="Q193:T194"/>
    <mergeCell ref="K194:M194"/>
    <mergeCell ref="N194:P194"/>
    <mergeCell ref="B186:I186"/>
    <mergeCell ref="A178:T178"/>
    <mergeCell ref="B183:I183"/>
    <mergeCell ref="A176:T176"/>
    <mergeCell ref="A179:A180"/>
  </mergeCells>
  <phoneticPr fontId="6" type="noConversion"/>
  <conditionalFormatting sqref="U171 U3:U6 U28:U29">
    <cfRule type="cellIs" dxfId="23" priority="47" operator="equal">
      <formula>"E bine"</formula>
    </cfRule>
  </conditionalFormatting>
  <conditionalFormatting sqref="U171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171:V171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171:X171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45:W45 U55:W55 U65:W65 U73:W7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171:V171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R185:R186 R60:R64 R188:R189 R182:R183 R191 R40:R44 R50:R54 R70:R72 R82:R85 R87:R89 R91:R93 R95" xr:uid="{00000000-0002-0000-0000-000000000000}">
      <formula1>$R$39</formula1>
    </dataValidation>
    <dataValidation type="list" allowBlank="1" showInputMessage="1" showErrorMessage="1" sqref="Q185:Q186 Q60:Q64 Q188:Q189 Q182:Q183 Q191 Q40:Q44 Q50:Q54 Q70:Q72 Q82:Q85 Q87:Q89 Q91:Q93 Q95" xr:uid="{00000000-0002-0000-0000-000001000000}">
      <formula1>$Q$39</formula1>
    </dataValidation>
    <dataValidation type="list" allowBlank="1" showInputMessage="1" showErrorMessage="1" sqref="S185:S186 S60:S64 S188:S189 S182:S183 S191 S40:S44 S50:S54 S70:S72 S82:S85 S87:S89 S91:S93 S95" xr:uid="{00000000-0002-0000-0000-000002000000}">
      <formula1>$S$39</formula1>
    </dataValidation>
    <dataValidation type="list" allowBlank="1" showInputMessage="1" showErrorMessage="1" sqref="T137:T139 T60:T64 T40:T44 T50:T54 T70:T72 T82:T85 T87:T89 T109:T115 T118 T131:T134 T152:T155 T158 T91:T93 T95" xr:uid="{00000000-0002-0000-0000-000003000000}">
      <formula1>$O$36:$S$36</formula1>
    </dataValidation>
    <dataValidation type="list" allowBlank="1" showInputMessage="1" showErrorMessage="1" sqref="T135 T116 T156" xr:uid="{00000000-0002-0000-0000-000004000000}">
      <formula1>$P$36:$S$36</formula1>
    </dataValidation>
    <dataValidation type="list" allowBlank="1" showInputMessage="1" showErrorMessage="1" sqref="B137:I139 B158:I158 B152:I155 B131:I134 B118:I118 B109:I115" xr:uid="{00000000-0002-0000-0000-000005000000}">
      <formula1>$B$38:$B$103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PETRUŞEL&amp;R                                           DIRECTOR DE DEPARTAMENT,
Prof.univ.dr. Anca ANDREICA</oddFooter>
  </headerFooter>
  <ignoredErrors>
    <ignoredError sqref="Q45" formula="1"/>
    <ignoredError sqref="K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72E853-D3C5-49C6-8C64-9E006A53C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2018-03-14T11:13:54Z</cp:lastPrinted>
  <dcterms:created xsi:type="dcterms:W3CDTF">2013-06-27T08:19:59Z</dcterms:created>
  <dcterms:modified xsi:type="dcterms:W3CDTF">2019-04-24T07:25:18Z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