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Users\Ady\Decanat\Planuri de invatamant\Planuri de invatamant 2019-2020\Master\Master-Finale2\"/>
    </mc:Choice>
  </mc:AlternateContent>
  <xr:revisionPtr revIDLastSave="0" documentId="13_ncr:1_{A34984C3-F799-4B0E-8F1F-28ABE14CFA20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4" i="1" l="1"/>
  <c r="P54" i="1" s="1"/>
  <c r="O54" i="1"/>
  <c r="Q41" i="1"/>
  <c r="O41" i="1"/>
  <c r="P41" i="1" l="1"/>
  <c r="V68" i="1"/>
  <c r="Z3" i="1"/>
  <c r="K86" i="1" l="1"/>
  <c r="L86" i="1" l="1"/>
  <c r="M86" i="1"/>
  <c r="N86" i="1"/>
  <c r="T85" i="1"/>
  <c r="S85" i="1"/>
  <c r="R85" i="1"/>
  <c r="K85" i="1"/>
  <c r="L85" i="1"/>
  <c r="M85" i="1"/>
  <c r="N85" i="1"/>
  <c r="J85" i="1"/>
  <c r="T155" i="1" l="1"/>
  <c r="S155" i="1"/>
  <c r="R155" i="1"/>
  <c r="N155" i="1"/>
  <c r="M155" i="1"/>
  <c r="L155" i="1"/>
  <c r="K155" i="1"/>
  <c r="J155" i="1"/>
  <c r="J151" i="1"/>
  <c r="K151" i="1"/>
  <c r="L151" i="1"/>
  <c r="M151" i="1"/>
  <c r="N151" i="1"/>
  <c r="R151" i="1"/>
  <c r="S151" i="1"/>
  <c r="T151" i="1"/>
  <c r="J152" i="1"/>
  <c r="K152" i="1"/>
  <c r="L152" i="1"/>
  <c r="M152" i="1"/>
  <c r="N152" i="1"/>
  <c r="R152" i="1"/>
  <c r="S152" i="1"/>
  <c r="T152" i="1"/>
  <c r="T150" i="1"/>
  <c r="S150" i="1"/>
  <c r="R150" i="1"/>
  <c r="N150" i="1"/>
  <c r="M150" i="1"/>
  <c r="J125" i="1"/>
  <c r="K125" i="1"/>
  <c r="L125" i="1"/>
  <c r="M125" i="1"/>
  <c r="N125" i="1"/>
  <c r="R125" i="1"/>
  <c r="S125" i="1"/>
  <c r="T125" i="1"/>
  <c r="J126" i="1"/>
  <c r="K126" i="1"/>
  <c r="L126" i="1"/>
  <c r="M126" i="1"/>
  <c r="N126" i="1"/>
  <c r="R126" i="1"/>
  <c r="S126" i="1"/>
  <c r="T126" i="1"/>
  <c r="T124" i="1"/>
  <c r="S124" i="1"/>
  <c r="R124" i="1"/>
  <c r="N124" i="1"/>
  <c r="M124" i="1"/>
  <c r="L124" i="1"/>
  <c r="K124" i="1"/>
  <c r="J124" i="1"/>
  <c r="T121" i="1"/>
  <c r="S121" i="1"/>
  <c r="R121" i="1"/>
  <c r="Q121" i="1"/>
  <c r="P121" i="1"/>
  <c r="O121" i="1"/>
  <c r="N121" i="1"/>
  <c r="M121" i="1"/>
  <c r="T105" i="1"/>
  <c r="S105" i="1"/>
  <c r="R105" i="1"/>
  <c r="Q105" i="1"/>
  <c r="P105" i="1"/>
  <c r="O105" i="1"/>
  <c r="N105" i="1"/>
  <c r="M105" i="1"/>
  <c r="L105" i="1"/>
  <c r="K105" i="1"/>
  <c r="J105" i="1"/>
  <c r="J95" i="1"/>
  <c r="K95" i="1"/>
  <c r="L95" i="1"/>
  <c r="M95" i="1"/>
  <c r="N95" i="1"/>
  <c r="R95" i="1"/>
  <c r="S95" i="1"/>
  <c r="T95" i="1"/>
  <c r="J96" i="1"/>
  <c r="K96" i="1"/>
  <c r="L96" i="1"/>
  <c r="M96" i="1"/>
  <c r="N96" i="1"/>
  <c r="R96" i="1"/>
  <c r="S96" i="1"/>
  <c r="T96" i="1"/>
  <c r="J97" i="1"/>
  <c r="K97" i="1"/>
  <c r="L97" i="1"/>
  <c r="M97" i="1"/>
  <c r="N97" i="1"/>
  <c r="R97" i="1"/>
  <c r="S97" i="1"/>
  <c r="T97" i="1"/>
  <c r="J98" i="1"/>
  <c r="K98" i="1"/>
  <c r="L98" i="1"/>
  <c r="M98" i="1"/>
  <c r="N98" i="1"/>
  <c r="R98" i="1"/>
  <c r="S98" i="1"/>
  <c r="T98" i="1"/>
  <c r="J99" i="1"/>
  <c r="K99" i="1"/>
  <c r="L99" i="1"/>
  <c r="M99" i="1"/>
  <c r="N99" i="1"/>
  <c r="R99" i="1"/>
  <c r="S99" i="1"/>
  <c r="T99" i="1"/>
  <c r="J100" i="1"/>
  <c r="K100" i="1"/>
  <c r="L100" i="1"/>
  <c r="M100" i="1"/>
  <c r="N100" i="1"/>
  <c r="R100" i="1"/>
  <c r="S100" i="1"/>
  <c r="T100" i="1"/>
  <c r="J101" i="1"/>
  <c r="K101" i="1"/>
  <c r="L101" i="1"/>
  <c r="M101" i="1"/>
  <c r="N101" i="1"/>
  <c r="R101" i="1"/>
  <c r="S101" i="1"/>
  <c r="T101" i="1"/>
  <c r="J102" i="1"/>
  <c r="K102" i="1"/>
  <c r="L102" i="1"/>
  <c r="M102" i="1"/>
  <c r="N102" i="1"/>
  <c r="R102" i="1"/>
  <c r="S102" i="1"/>
  <c r="T102" i="1"/>
  <c r="T94" i="1"/>
  <c r="S94" i="1"/>
  <c r="R94" i="1"/>
  <c r="N94" i="1"/>
  <c r="M94" i="1"/>
  <c r="O84" i="1"/>
  <c r="O83" i="1"/>
  <c r="O81" i="1"/>
  <c r="O80" i="1"/>
  <c r="O71" i="1"/>
  <c r="O125" i="1" s="1"/>
  <c r="O72" i="1"/>
  <c r="O126" i="1" s="1"/>
  <c r="O73" i="1"/>
  <c r="O155" i="1" s="1"/>
  <c r="O62" i="1"/>
  <c r="O100" i="1" s="1"/>
  <c r="O63" i="1"/>
  <c r="O101" i="1" s="1"/>
  <c r="O64" i="1"/>
  <c r="O102" i="1" s="1"/>
  <c r="O53" i="1"/>
  <c r="O96" i="1" s="1"/>
  <c r="O97" i="1"/>
  <c r="O55" i="1"/>
  <c r="O98" i="1" s="1"/>
  <c r="M74" i="1"/>
  <c r="O70" i="1"/>
  <c r="O124" i="1" s="1"/>
  <c r="M65" i="1"/>
  <c r="O61" i="1"/>
  <c r="O99" i="1" s="1"/>
  <c r="M56" i="1"/>
  <c r="O52" i="1"/>
  <c r="M44" i="1"/>
  <c r="O151" i="1"/>
  <c r="O42" i="1"/>
  <c r="O152" i="1" s="1"/>
  <c r="O43" i="1"/>
  <c r="O40" i="1"/>
  <c r="Q40" i="1"/>
  <c r="O85" i="1" l="1"/>
  <c r="O86" i="1"/>
  <c r="O150" i="1"/>
  <c r="O95" i="1"/>
  <c r="M106" i="1"/>
  <c r="M103" i="1"/>
  <c r="M122" i="1"/>
  <c r="M127" i="1"/>
  <c r="M153" i="1"/>
  <c r="M156" i="1"/>
  <c r="P40" i="1"/>
  <c r="O94" i="1"/>
  <c r="M129" i="1" l="1"/>
  <c r="M108" i="1"/>
  <c r="M157" i="1"/>
  <c r="M107" i="1"/>
  <c r="M128" i="1"/>
  <c r="M158" i="1"/>
  <c r="V6" i="1"/>
  <c r="V5" i="1"/>
  <c r="V4" i="1"/>
  <c r="V3" i="1"/>
  <c r="Q70" i="1" l="1"/>
  <c r="Q124" i="1" s="1"/>
  <c r="U74" i="1" l="1"/>
  <c r="P70" i="1" l="1"/>
  <c r="P124" i="1" s="1"/>
  <c r="U65" i="1" l="1"/>
  <c r="U56" i="1" l="1"/>
  <c r="U44" i="1"/>
  <c r="U85" i="1" l="1"/>
  <c r="U157" i="1"/>
  <c r="U128" i="1"/>
  <c r="U107" i="1"/>
  <c r="N198" i="1"/>
  <c r="L198" i="1"/>
  <c r="K198" i="1"/>
  <c r="T197" i="1"/>
  <c r="S197" i="1"/>
  <c r="R197" i="1"/>
  <c r="N197" i="1"/>
  <c r="L197" i="1"/>
  <c r="K197" i="1"/>
  <c r="J197" i="1"/>
  <c r="Q193" i="1"/>
  <c r="O193" i="1"/>
  <c r="Q187" i="1"/>
  <c r="O187" i="1"/>
  <c r="Q191" i="1"/>
  <c r="O191" i="1"/>
  <c r="Q194" i="1"/>
  <c r="O194" i="1"/>
  <c r="Q190" i="1"/>
  <c r="O190" i="1"/>
  <c r="Q188" i="1"/>
  <c r="O188" i="1"/>
  <c r="P191" i="1" l="1"/>
  <c r="O197" i="1"/>
  <c r="Q197" i="1"/>
  <c r="O198" i="1"/>
  <c r="Q198" i="1"/>
  <c r="K199" i="1"/>
  <c r="P193" i="1"/>
  <c r="P187" i="1"/>
  <c r="P194" i="1"/>
  <c r="P188" i="1"/>
  <c r="P190" i="1"/>
  <c r="P198" i="1" l="1"/>
  <c r="O199" i="1" s="1"/>
  <c r="P197" i="1"/>
  <c r="V29" i="1" l="1"/>
  <c r="V28" i="1"/>
  <c r="Q84" i="1" l="1"/>
  <c r="Q83" i="1"/>
  <c r="Q81" i="1"/>
  <c r="Q80" i="1"/>
  <c r="Q73" i="1"/>
  <c r="Q155" i="1" s="1"/>
  <c r="Q72" i="1"/>
  <c r="Q126" i="1" s="1"/>
  <c r="Q71" i="1"/>
  <c r="Q125" i="1" s="1"/>
  <c r="Q85" i="1" l="1"/>
  <c r="Q86" i="1"/>
  <c r="P81" i="1"/>
  <c r="P83" i="1"/>
  <c r="P84" i="1"/>
  <c r="A155" i="1"/>
  <c r="A152" i="1"/>
  <c r="A151" i="1"/>
  <c r="L150" i="1"/>
  <c r="K150" i="1"/>
  <c r="J150" i="1"/>
  <c r="A150" i="1"/>
  <c r="A126" i="1"/>
  <c r="A125" i="1"/>
  <c r="A124" i="1"/>
  <c r="L121" i="1"/>
  <c r="K121" i="1"/>
  <c r="J121" i="1"/>
  <c r="A121" i="1"/>
  <c r="A105" i="1"/>
  <c r="A102" i="1" l="1"/>
  <c r="A101" i="1"/>
  <c r="A100" i="1"/>
  <c r="A99" i="1"/>
  <c r="A98" i="1"/>
  <c r="A97" i="1"/>
  <c r="A96" i="1" l="1"/>
  <c r="A95" i="1"/>
  <c r="L94" i="1"/>
  <c r="K94" i="1"/>
  <c r="J94" i="1"/>
  <c r="A94" i="1"/>
  <c r="Q43" i="1" l="1"/>
  <c r="Q94" i="1" s="1"/>
  <c r="T156" i="1"/>
  <c r="S156" i="1"/>
  <c r="R156" i="1"/>
  <c r="N156" i="1"/>
  <c r="L156" i="1"/>
  <c r="K156" i="1"/>
  <c r="J156" i="1"/>
  <c r="T153" i="1"/>
  <c r="S153" i="1"/>
  <c r="R153" i="1"/>
  <c r="N153" i="1"/>
  <c r="L153" i="1"/>
  <c r="K153" i="1"/>
  <c r="J153" i="1"/>
  <c r="T127" i="1"/>
  <c r="S127" i="1"/>
  <c r="R127" i="1"/>
  <c r="N127" i="1"/>
  <c r="L127" i="1"/>
  <c r="K127" i="1"/>
  <c r="J127" i="1"/>
  <c r="T122" i="1"/>
  <c r="S122" i="1"/>
  <c r="R122" i="1"/>
  <c r="N122" i="1"/>
  <c r="L122" i="1"/>
  <c r="K122" i="1"/>
  <c r="J122" i="1"/>
  <c r="T106" i="1"/>
  <c r="S106" i="1"/>
  <c r="R106" i="1"/>
  <c r="N106" i="1"/>
  <c r="L106" i="1"/>
  <c r="K106" i="1"/>
  <c r="J106" i="1"/>
  <c r="P80" i="1"/>
  <c r="T74" i="1"/>
  <c r="S74" i="1"/>
  <c r="R74" i="1"/>
  <c r="N74" i="1"/>
  <c r="L74" i="1"/>
  <c r="K74" i="1"/>
  <c r="J74" i="1"/>
  <c r="T65" i="1"/>
  <c r="S65" i="1"/>
  <c r="R65" i="1"/>
  <c r="N65" i="1"/>
  <c r="L65" i="1"/>
  <c r="K65" i="1"/>
  <c r="J65" i="1"/>
  <c r="Q64" i="1"/>
  <c r="Q102" i="1" s="1"/>
  <c r="Q63" i="1"/>
  <c r="Q101" i="1" s="1"/>
  <c r="Q62" i="1"/>
  <c r="Q100" i="1" s="1"/>
  <c r="Q61" i="1"/>
  <c r="Q99" i="1" s="1"/>
  <c r="T56" i="1"/>
  <c r="S56" i="1"/>
  <c r="R56" i="1"/>
  <c r="N56" i="1"/>
  <c r="L56" i="1"/>
  <c r="K56" i="1"/>
  <c r="J56" i="1"/>
  <c r="Q55" i="1"/>
  <c r="Q98" i="1" s="1"/>
  <c r="Q97" i="1"/>
  <c r="Q53" i="1"/>
  <c r="Q96" i="1" s="1"/>
  <c r="Q52" i="1"/>
  <c r="K44" i="1"/>
  <c r="Q42" i="1"/>
  <c r="Q152" i="1" s="1"/>
  <c r="Q151" i="1"/>
  <c r="T44" i="1"/>
  <c r="S44" i="1"/>
  <c r="R44" i="1"/>
  <c r="N44" i="1"/>
  <c r="L44" i="1"/>
  <c r="J44" i="1"/>
  <c r="J128" i="1" l="1"/>
  <c r="K128" i="1"/>
  <c r="P86" i="1"/>
  <c r="P85" i="1"/>
  <c r="Q150" i="1"/>
  <c r="Q95" i="1"/>
  <c r="V74" i="1"/>
  <c r="V56" i="1"/>
  <c r="S164" i="1"/>
  <c r="S166" i="1" s="1"/>
  <c r="V44" i="1"/>
  <c r="O65" i="1"/>
  <c r="T164" i="1"/>
  <c r="T166" i="1" s="1"/>
  <c r="V65" i="1"/>
  <c r="J165" i="1"/>
  <c r="T128" i="1"/>
  <c r="Q65" i="1"/>
  <c r="P53" i="1"/>
  <c r="P96" i="1" s="1"/>
  <c r="P97" i="1"/>
  <c r="P55" i="1"/>
  <c r="P98" i="1" s="1"/>
  <c r="P63" i="1"/>
  <c r="P101" i="1" s="1"/>
  <c r="P64" i="1"/>
  <c r="P102" i="1" s="1"/>
  <c r="N128" i="1"/>
  <c r="L157" i="1"/>
  <c r="L128" i="1"/>
  <c r="R128" i="1"/>
  <c r="K129" i="1"/>
  <c r="N129" i="1"/>
  <c r="S128" i="1"/>
  <c r="N158" i="1"/>
  <c r="S157" i="1"/>
  <c r="O156" i="1"/>
  <c r="O153" i="1"/>
  <c r="O127" i="1"/>
  <c r="O106" i="1"/>
  <c r="Q56" i="1"/>
  <c r="P71" i="1"/>
  <c r="P125" i="1" s="1"/>
  <c r="P72" i="1"/>
  <c r="P126" i="1" s="1"/>
  <c r="Q156" i="1"/>
  <c r="Q127" i="1"/>
  <c r="Q106" i="1"/>
  <c r="L129" i="1"/>
  <c r="P43" i="1"/>
  <c r="P94" i="1" s="1"/>
  <c r="O44" i="1"/>
  <c r="J157" i="1"/>
  <c r="L158" i="1"/>
  <c r="R157" i="1"/>
  <c r="T157" i="1"/>
  <c r="N103" i="1"/>
  <c r="N107" i="1" s="1"/>
  <c r="K103" i="1"/>
  <c r="S103" i="1"/>
  <c r="S107" i="1" s="1"/>
  <c r="L103" i="1"/>
  <c r="L107" i="1" s="1"/>
  <c r="R103" i="1"/>
  <c r="R107" i="1" s="1"/>
  <c r="T103" i="1"/>
  <c r="T107" i="1" s="1"/>
  <c r="P61" i="1"/>
  <c r="P99" i="1" s="1"/>
  <c r="J103" i="1"/>
  <c r="J107" i="1" s="1"/>
  <c r="P42" i="1"/>
  <c r="P152" i="1" s="1"/>
  <c r="O74" i="1"/>
  <c r="Q44" i="1"/>
  <c r="P52" i="1"/>
  <c r="P151" i="1"/>
  <c r="O56" i="1"/>
  <c r="P62" i="1"/>
  <c r="P100" i="1" s="1"/>
  <c r="P73" i="1"/>
  <c r="P155" i="1" s="1"/>
  <c r="K87" i="1"/>
  <c r="Q74" i="1"/>
  <c r="N157" i="1"/>
  <c r="K158" i="1"/>
  <c r="K157" i="1"/>
  <c r="K107" i="1" l="1"/>
  <c r="K108" i="1"/>
  <c r="K130" i="1"/>
  <c r="P150" i="1"/>
  <c r="P153" i="1" s="1"/>
  <c r="P95" i="1"/>
  <c r="Q153" i="1"/>
  <c r="J164" i="1"/>
  <c r="H165" i="1"/>
  <c r="Q122" i="1"/>
  <c r="K159" i="1"/>
  <c r="Q103" i="1"/>
  <c r="Q108" i="1" s="1"/>
  <c r="P156" i="1"/>
  <c r="P127" i="1"/>
  <c r="P106" i="1"/>
  <c r="O157" i="1"/>
  <c r="O158" i="1"/>
  <c r="O122" i="1"/>
  <c r="O103" i="1"/>
  <c r="N108" i="1"/>
  <c r="L108" i="1"/>
  <c r="P56" i="1"/>
  <c r="P44" i="1"/>
  <c r="P74" i="1"/>
  <c r="P65" i="1"/>
  <c r="K109" i="1" l="1"/>
  <c r="O107" i="1"/>
  <c r="O108" i="1"/>
  <c r="Q157" i="1"/>
  <c r="Q158" i="1"/>
  <c r="O87" i="1"/>
  <c r="L165" i="1"/>
  <c r="L164" i="1" s="1"/>
  <c r="L166" i="1" s="1"/>
  <c r="Q107" i="1"/>
  <c r="H164" i="1"/>
  <c r="J166" i="1"/>
  <c r="P122" i="1"/>
  <c r="P128" i="1" s="1"/>
  <c r="Q129" i="1"/>
  <c r="Q128" i="1"/>
  <c r="P103" i="1"/>
  <c r="P108" i="1" s="1"/>
  <c r="P158" i="1"/>
  <c r="O159" i="1" s="1"/>
  <c r="P157" i="1"/>
  <c r="O129" i="1"/>
  <c r="O128" i="1"/>
  <c r="O165" i="1" l="1"/>
  <c r="V165" i="1" s="1"/>
  <c r="O109" i="1"/>
  <c r="O164" i="1"/>
  <c r="H166" i="1"/>
  <c r="Q165" i="1" s="1"/>
  <c r="P107" i="1"/>
  <c r="P129" i="1"/>
  <c r="O130" i="1" s="1"/>
  <c r="O166" i="1" l="1"/>
  <c r="Q164" i="1"/>
  <c r="Q166" i="1" s="1"/>
</calcChain>
</file>

<file path=xl/sharedStrings.xml><?xml version="1.0" encoding="utf-8"?>
<sst xmlns="http://schemas.openxmlformats.org/spreadsheetml/2006/main" count="406" uniqueCount="161">
  <si>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</si>
  <si>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</si>
  <si>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</si>
  <si>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</si>
  <si>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</si>
  <si>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</si>
  <si>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</si>
  <si>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</si>
  <si>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</si>
  <si>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</si>
  <si>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</si>
  <si>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</si>
  <si>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</si>
  <si>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</si>
  <si>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</si>
  <si>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</si>
  <si>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</si>
  <si>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</si>
  <si>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</si>
  <si>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</si>
  <si>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</si>
  <si>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</si>
  <si>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</si>
  <si>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</si>
  <si>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</si>
  <si>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</si>
  <si>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</si>
  <si>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</si>
  <si>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</si>
  <si>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</si>
  <si>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LP</t>
  </si>
  <si>
    <t>T</t>
  </si>
  <si>
    <t>E</t>
  </si>
  <si>
    <t>VP</t>
  </si>
  <si>
    <t>F</t>
  </si>
  <si>
    <t>Semestrul I</t>
  </si>
  <si>
    <t>Semestrul II</t>
  </si>
  <si>
    <t>DF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</si>
  <si>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</si>
  <si>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</si>
  <si>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</si>
  <si>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</si>
  <si>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</si>
  <si>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</si>
  <si>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</si>
  <si>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</si>
  <si>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</si>
  <si>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%</t>
  </si>
  <si>
    <t xml:space="preserve">TOTAL ORE FIZICE / TOTAL ORE ALOCATE STUDIULUI </t>
  </si>
  <si>
    <t xml:space="preserve">Anexă la Planul de Învățământ specializarea / programul de studiu: 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</si>
  <si>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</si>
  <si>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</si>
  <si>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</si>
  <si>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</si>
  <si>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</si>
  <si>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</si>
  <si>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</si>
  <si>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</si>
  <si>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</si>
  <si>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</si>
  <si>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</si>
  <si>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</si>
  <si>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</si>
  <si>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4 (12 săptămâni)</t>
  </si>
  <si>
    <t>Semestrul  4 (12 săptămâni)</t>
  </si>
  <si>
    <t>I. CERINŢE PENTRU OBŢINEREA DIPLOMEI DE MASTER</t>
  </si>
  <si>
    <r>
      <rPr>
        <b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 xml:space="preserve"> credite la examenul de susținere a disertației</t>
    </r>
  </si>
  <si>
    <t>DISCIPLINE COMPLEMENTARE (DC)</t>
  </si>
  <si>
    <t>XND 1101</t>
  </si>
  <si>
    <t>XND 1102</t>
  </si>
  <si>
    <t>XND 1203</t>
  </si>
  <si>
    <t>XND 1204</t>
  </si>
  <si>
    <t>Examen de absolvire: Nivelul II</t>
  </si>
  <si>
    <t xml:space="preserve">TOTAL CREDITE / ORE PE SĂPTĂMÂNĂ / EVALUĂRI </t>
  </si>
  <si>
    <t xml:space="preserve">PROGRAM DE STUDII PSIHOPEDAGOGICE </t>
  </si>
  <si>
    <t>An I, Semestrul 1</t>
  </si>
  <si>
    <t>An I, Semestrul 2</t>
  </si>
  <si>
    <t>An II, Semestrul 3</t>
  </si>
  <si>
    <t>An II, Semestrul 4</t>
  </si>
  <si>
    <t>Pentru a ocupa posturi didactice în învăţământul liceal, postliceal şi universitar, absolvenţii trebuie să posede Certificat de absolvire a Programului se studii psihopedagogice, Nivelul II, a Departamentului pentru pregătirea personalului didactic. Disciplinelor Departamentului li se repartizează 30 de credite (+ 5 credite aferente examenului de absolvire)</t>
  </si>
  <si>
    <t>MODUL PEDAGOCIC - Nivelul II: 30 de credite ECTS  + 5 credite ECTS aferente examenului de absolvire</t>
  </si>
  <si>
    <t>Psihopedagogia adolescenţilor, tinerilor şi adulţilor</t>
  </si>
  <si>
    <t>Proiectarea şi managementul programelor educaţionale</t>
  </si>
  <si>
    <t>DP</t>
  </si>
  <si>
    <t>DO</t>
  </si>
  <si>
    <t xml:space="preserve">Practică pedagogică (în învăţământul liceal, postliceal şi universitar)
</t>
  </si>
  <si>
    <t>XND 2305</t>
  </si>
  <si>
    <t>XND 2306</t>
  </si>
  <si>
    <t>DF – Discipline de extensie a pregătirii psihopedagogice fundamentale (obligatorii)</t>
  </si>
  <si>
    <t>DP – Discipline de extensie a pregătirii didactice şi practice de specialitate (obligatorii)</t>
  </si>
  <si>
    <t xml:space="preserve">DO - Discipline opţionale </t>
  </si>
  <si>
    <t>Verificați standardele specifice domeniului dumneavoastră pentru a evita incongruențele.</t>
  </si>
  <si>
    <t>ÎN TOATE TABELELE DIN ACEASTĂ MACHETĂ, TREBUIE SĂ INTRODUCEȚI  DATE NUMAI ÎN CELULELE MARCATE CU GALBEN</t>
  </si>
  <si>
    <t>Tabelele/rândurile necompletate se șterg sau se ascund (dacă afectează formulele) HIDE</t>
  </si>
  <si>
    <r>
      <rPr>
        <b/>
        <sz val="10"/>
        <color indexed="8"/>
        <rFont val="Times New Roman"/>
        <family val="1"/>
      </rPr>
      <t>IV.EXAMENUL DE DISERTAȚIE</t>
    </r>
    <r>
      <rPr>
        <sz val="10"/>
        <color indexed="8"/>
        <rFont val="Times New Roman"/>
        <family val="1"/>
      </rPr>
      <t xml:space="preserve"> - perioada iunie-iulie (1 săptămână)
Proba: Prezentarea şi susţinerea lucrării de disertație - 10 credite
</t>
    </r>
  </si>
  <si>
    <t>Didactica domeniului şi dezvoltăriI în didactica specialităţii (învăţământ liceal, postliceal, universitar)</t>
  </si>
  <si>
    <t>Disciplină opțională 1</t>
  </si>
  <si>
    <t>Disciplină opțională 2</t>
  </si>
  <si>
    <t>DA</t>
  </si>
  <si>
    <t>DSIN</t>
  </si>
  <si>
    <t>DISCIPLINE DE SPECIALITATE  (DS)</t>
  </si>
  <si>
    <t>PLAN DE ÎNVĂŢĂMÂNT  valabil începând din anul universitar 2019-2020</t>
  </si>
  <si>
    <t xml:space="preserve">acest tabel nu se modifica </t>
  </si>
  <si>
    <t>FACULTATEA DE MATEMATICĂ ȘI INFORMATICĂ</t>
  </si>
  <si>
    <r>
      <t xml:space="preserve">Domeniul: </t>
    </r>
    <r>
      <rPr>
        <b/>
        <sz val="10"/>
        <color indexed="8"/>
        <rFont val="Times New Roman"/>
        <family val="1"/>
        <charset val="238"/>
      </rPr>
      <t>Matematică</t>
    </r>
  </si>
  <si>
    <r>
      <t xml:space="preserve">Specializarea/Programul de studiu: </t>
    </r>
    <r>
      <rPr>
        <b/>
        <sz val="10"/>
        <color indexed="8"/>
        <rFont val="Times New Roman"/>
        <family val="1"/>
        <charset val="238"/>
      </rPr>
      <t>Matematică Didactică</t>
    </r>
  </si>
  <si>
    <r>
      <t xml:space="preserve">Limba de predare: </t>
    </r>
    <r>
      <rPr>
        <b/>
        <sz val="10"/>
        <color indexed="8"/>
        <rFont val="Times New Roman"/>
        <family val="1"/>
        <charset val="238"/>
      </rPr>
      <t>Română</t>
    </r>
  </si>
  <si>
    <r>
      <t xml:space="preserve">Titlul absolventului: </t>
    </r>
    <r>
      <rPr>
        <b/>
        <sz val="10"/>
        <color indexed="8"/>
        <rFont val="Times New Roman"/>
        <family val="1"/>
        <charset val="238"/>
      </rPr>
      <t>MASTER</t>
    </r>
  </si>
  <si>
    <t>0</t>
  </si>
  <si>
    <t>L</t>
  </si>
  <si>
    <t>P</t>
  </si>
  <si>
    <t>MMR3046</t>
  </si>
  <si>
    <t>Teme de algebră I (pentru perfecționarea profesorilor)</t>
  </si>
  <si>
    <t>MMR3034</t>
  </si>
  <si>
    <t>Teme de geometrie I (pentru perfecționarea profesorilor)</t>
  </si>
  <si>
    <t>MMR3008</t>
  </si>
  <si>
    <t>Teme de analiză matematică I (pentru perfecționarea profesorilor)</t>
  </si>
  <si>
    <t>MMR3057</t>
  </si>
  <si>
    <t>Instruire asistată de calculator</t>
  </si>
  <si>
    <t>MMR3047</t>
  </si>
  <si>
    <t>Teme de algebră II (pentru perfecționarea profesorilor)</t>
  </si>
  <si>
    <t>MMR3009</t>
  </si>
  <si>
    <t>Teme de analiză matematică II (pentru perfecționarea profesorilor)</t>
  </si>
  <si>
    <t>MMR3022</t>
  </si>
  <si>
    <t>Teme de calcul numeric și aproximare (pentru perfecționarea profesorilor)</t>
  </si>
  <si>
    <t>MMR3096</t>
  </si>
  <si>
    <t>Aspecte metodice privind predarea matematicii cu softuri educaționale (GeoGebra, Microsoft Mathematics, Graph)</t>
  </si>
  <si>
    <t>MMR3029</t>
  </si>
  <si>
    <t>Teme de matematică aplicată (pentru perfecționarea profesorilor)</t>
  </si>
  <si>
    <t>MMR3035</t>
  </si>
  <si>
    <t>Teme de geometrie II (pentru perfecționarea profesorilor)</t>
  </si>
  <si>
    <t>MMR3041</t>
  </si>
  <si>
    <t>Metodologia cercetării științifice de matematică</t>
  </si>
  <si>
    <t>MMR3055</t>
  </si>
  <si>
    <t>Teme de mecanică și astronomie (pentru perfecționarea profesorilor)</t>
  </si>
  <si>
    <t>MMX3221</t>
  </si>
  <si>
    <t>Curs opțional 1</t>
  </si>
  <si>
    <t>MMX3222</t>
  </si>
  <si>
    <t>Curs opțional 2</t>
  </si>
  <si>
    <t>Elaborarea lucrării de disertație</t>
  </si>
  <si>
    <t>MMR7002</t>
  </si>
  <si>
    <t xml:space="preserve">Sem. 4: Se alege  o disciplină din pachetul: MMX3221 </t>
  </si>
  <si>
    <t>Sem. 4: Se alege  o disciplină din pachetul: MMX3222</t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</si>
  <si>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Planul de învățământ urmează în proporție de 60 %  planurile de învățământ de la următoarele universități: Universitatea Tor Vergata Roma, Universitatea Heidelberg, Universitatea Bari.</t>
    </r>
  </si>
  <si>
    <t>CURS OPȚIONAL 1 (An II, Semestrul 4)- (MMX3221)</t>
  </si>
  <si>
    <t>CURS OPȚIONAL 2 (An II, Semestrul 4)- (MMX3222)</t>
  </si>
  <si>
    <t>MME3048</t>
  </si>
  <si>
    <t>Teme de algebră III (pentru perfecționarea profesorilor)</t>
  </si>
  <si>
    <t>MME3036</t>
  </si>
  <si>
    <t>Teme de geometrie III (pentru perfecționarea profesorilor)</t>
  </si>
  <si>
    <t>MME3010</t>
  </si>
  <si>
    <t>Teme de analiză matematică III (pentru perfecționarea profesorilor)</t>
  </si>
  <si>
    <t>MME3102</t>
  </si>
  <si>
    <t>Analiză neliniară aplicată</t>
  </si>
  <si>
    <r>
      <rPr>
        <b/>
        <sz val="10"/>
        <color indexed="8"/>
        <rFont val="Times New Roman"/>
        <family val="1"/>
      </rPr>
      <t xml:space="preserve">102  </t>
    </r>
    <r>
      <rPr>
        <sz val="10"/>
        <color indexed="8"/>
        <rFont val="Times New Roman"/>
        <family val="1"/>
      </rPr>
      <t>de credite la disciplinele obligatorii;</t>
    </r>
  </si>
  <si>
    <r>
      <rPr>
        <b/>
        <sz val="10"/>
        <color indexed="8"/>
        <rFont val="Times New Roman"/>
        <family val="1"/>
      </rPr>
      <t xml:space="preserve">18   </t>
    </r>
    <r>
      <rPr>
        <sz val="10"/>
        <color indexed="8"/>
        <rFont val="Times New Roman"/>
        <family val="1"/>
      </rPr>
      <t xml:space="preserve"> de credite la disciplinele opţionale;</t>
    </r>
  </si>
  <si>
    <t>va rog completati</t>
  </si>
  <si>
    <t>În contul a cel mult o disciplina opţionala generala, studentul are dreptul să aleagă o disciplina de la alte specializări ale facultăţilor din Universitatea „Babeş-Bolyai”, respectând condiționările din planurile de învățământ ale respectivelor specializări.</t>
  </si>
  <si>
    <t>MMR3042</t>
  </si>
  <si>
    <t>Practică in specialitate</t>
  </si>
  <si>
    <t>Practica de specialitate se desfasoara pe parcursul a 60 de 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</si>
</sst>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Calibri"/>
      <family val="2"/>
      <charset val="238"/>
      <scheme val="minor"/>
    </font>
    <font>
      <sz val="10"/>
      <color rgb="FFFF0000"/>
      <name val="Times New Roman"/>
      <family val="1"/>
    </font>
    <font>
      <b/>
      <sz val="10"/>
      <color indexed="8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6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1" fontId="2" fillId="0" borderId="1" xfId="0" applyNumberFormat="1" applyFont="1" applyBorder="1" applyAlignment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5" borderId="1" xfId="0" applyNumberFormat="1" applyFont="1" applyFill="1" applyBorder="1" applyAlignment="1" applyProtection="1">
      <alignment horizontal="left" vertical="center"/>
      <protection locked="0"/>
    </xf>
    <xf numFmtId="1" fontId="2" fillId="5" borderId="1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locked="0"/>
    </xf>
    <xf numFmtId="1" fontId="10" fillId="5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center"/>
    </xf>
    <xf numFmtId="0" fontId="13" fillId="0" borderId="0" xfId="0" applyFont="1" applyProtection="1"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10" fontId="2" fillId="3" borderId="3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Protection="1">
      <protection locked="0"/>
    </xf>
    <xf numFmtId="0" fontId="1" fillId="0" borderId="1" xfId="0" applyFont="1" applyBorder="1" applyAlignment="1">
      <alignment horizontal="center" vertical="center"/>
    </xf>
    <xf numFmtId="1" fontId="1" fillId="5" borderId="1" xfId="0" applyNumberFormat="1" applyFont="1" applyFill="1" applyBorder="1" applyAlignment="1" applyProtection="1">
      <alignment horizontal="left" vertical="center"/>
      <protection locked="0"/>
    </xf>
    <xf numFmtId="1" fontId="1" fillId="5" borderId="2" xfId="0" applyNumberFormat="1" applyFont="1" applyFill="1" applyBorder="1" applyAlignment="1" applyProtection="1">
      <alignment horizontal="left" vertical="center" wrapText="1"/>
      <protection locked="0"/>
    </xf>
    <xf numFmtId="1" fontId="1" fillId="5" borderId="5" xfId="0" applyNumberFormat="1" applyFont="1" applyFill="1" applyBorder="1" applyAlignment="1" applyProtection="1">
      <alignment horizontal="left" vertical="center"/>
      <protection locked="0"/>
    </xf>
    <xf numFmtId="1" fontId="1" fillId="5" borderId="6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/>
    <xf numFmtId="0" fontId="9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" fontId="2" fillId="5" borderId="2" xfId="0" applyNumberFormat="1" applyFont="1" applyFill="1" applyBorder="1" applyAlignment="1" applyProtection="1">
      <alignment horizontal="center" vertical="center"/>
      <protection locked="0"/>
    </xf>
    <xf numFmtId="1" fontId="2" fillId="5" borderId="5" xfId="0" applyNumberFormat="1" applyFont="1" applyFill="1" applyBorder="1" applyAlignment="1" applyProtection="1">
      <alignment horizontal="center" vertical="center"/>
      <protection locked="0"/>
    </xf>
    <xf numFmtId="1" fontId="2" fillId="5" borderId="6" xfId="0" applyNumberFormat="1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vertical="center" wrapText="1"/>
    </xf>
    <xf numFmtId="2" fontId="1" fillId="5" borderId="9" xfId="0" applyNumberFormat="1" applyFont="1" applyFill="1" applyBorder="1" applyAlignment="1">
      <alignment horizontal="center" vertical="center"/>
    </xf>
    <xf numFmtId="2" fontId="1" fillId="5" borderId="4" xfId="0" applyNumberFormat="1" applyFont="1" applyFill="1" applyBorder="1" applyAlignment="1">
      <alignment horizontal="center" vertical="center"/>
    </xf>
    <xf numFmtId="2" fontId="1" fillId="5" borderId="10" xfId="0" applyNumberFormat="1" applyFont="1" applyFill="1" applyBorder="1" applyAlignment="1">
      <alignment horizontal="center" vertical="center"/>
    </xf>
    <xf numFmtId="2" fontId="1" fillId="5" borderId="11" xfId="0" applyNumberFormat="1" applyFont="1" applyFill="1" applyBorder="1" applyAlignment="1">
      <alignment horizontal="center" vertical="center"/>
    </xf>
    <xf numFmtId="2" fontId="1" fillId="5" borderId="7" xfId="0" applyNumberFormat="1" applyFont="1" applyFill="1" applyBorder="1" applyAlignment="1">
      <alignment horizontal="center" vertical="center"/>
    </xf>
    <xf numFmtId="2" fontId="1" fillId="5" borderId="8" xfId="0" applyNumberFormat="1" applyFont="1" applyFill="1" applyBorder="1" applyAlignment="1">
      <alignment horizontal="center" vertical="center"/>
    </xf>
    <xf numFmtId="1" fontId="2" fillId="5" borderId="2" xfId="0" applyNumberFormat="1" applyFont="1" applyFill="1" applyBorder="1" applyAlignment="1">
      <alignment horizontal="center" vertical="center"/>
    </xf>
    <xf numFmtId="1" fontId="2" fillId="5" borderId="5" xfId="0" applyNumberFormat="1" applyFont="1" applyFill="1" applyBorder="1" applyAlignment="1">
      <alignment horizontal="center" vertical="center"/>
    </xf>
    <xf numFmtId="1" fontId="2" fillId="5" borderId="6" xfId="0" applyNumberFormat="1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9" fontId="7" fillId="0" borderId="6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9" fontId="8" fillId="0" borderId="2" xfId="0" applyNumberFormat="1" applyFont="1" applyBorder="1" applyAlignment="1">
      <alignment horizontal="center"/>
    </xf>
    <xf numFmtId="9" fontId="8" fillId="0" borderId="6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1" fontId="1" fillId="0" borderId="2" xfId="0" applyNumberFormat="1" applyFont="1" applyBorder="1" applyAlignment="1">
      <alignment horizontal="center"/>
    </xf>
    <xf numFmtId="9" fontId="13" fillId="0" borderId="2" xfId="0" applyNumberFormat="1" applyFont="1" applyBorder="1" applyAlignment="1">
      <alignment horizontal="center"/>
    </xf>
    <xf numFmtId="9" fontId="13" fillId="0" borderId="6" xfId="0" applyNumberFormat="1" applyFont="1" applyBorder="1" applyAlignment="1">
      <alignment horizontal="center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2" fontId="1" fillId="0" borderId="9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2" fillId="0" borderId="7" xfId="0" applyFont="1" applyBorder="1" applyProtection="1"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" fontId="2" fillId="0" borderId="2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1" fontId="1" fillId="3" borderId="5" xfId="0" applyNumberFormat="1" applyFont="1" applyFill="1" applyBorder="1" applyAlignment="1" applyProtection="1">
      <alignment horizontal="left" vertical="center"/>
      <protection locked="0"/>
    </xf>
    <xf numFmtId="1" fontId="1" fillId="3" borderId="6" xfId="0" applyNumberFormat="1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8" borderId="0" xfId="0" applyFont="1" applyFill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8" borderId="0" xfId="0" applyFont="1" applyFill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8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8" borderId="0" xfId="0" applyFont="1" applyFill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5" xfId="0" applyFont="1" applyFill="1" applyBorder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" fillId="0" borderId="1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14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4" borderId="14" xfId="0" applyFont="1" applyFill="1" applyBorder="1" applyAlignment="1">
      <alignment wrapText="1"/>
    </xf>
    <xf numFmtId="0" fontId="1" fillId="4" borderId="0" xfId="0" applyFont="1" applyFill="1" applyAlignment="1">
      <alignment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1" fillId="6" borderId="0" xfId="0" applyFont="1" applyFill="1" applyAlignment="1" applyProtection="1">
      <alignment vertical="center" wrapText="1"/>
      <protection locked="0"/>
    </xf>
    <xf numFmtId="0" fontId="12" fillId="6" borderId="0" xfId="0" applyFont="1" applyFill="1" applyAlignment="1">
      <alignment vertical="center" wrapText="1"/>
    </xf>
    <xf numFmtId="0" fontId="12" fillId="0" borderId="0" xfId="0" applyFont="1"/>
    <xf numFmtId="0" fontId="2" fillId="7" borderId="0" xfId="0" applyFont="1" applyFill="1" applyAlignment="1" applyProtection="1">
      <alignment horizontal="left" vertical="top" wrapText="1"/>
      <protection locked="0"/>
    </xf>
    <xf numFmtId="0" fontId="11" fillId="7" borderId="0" xfId="0" applyFont="1" applyFill="1" applyAlignment="1" applyProtection="1">
      <alignment wrapText="1"/>
      <protection locked="0"/>
    </xf>
    <xf numFmtId="0" fontId="0" fillId="7" borderId="0" xfId="0" applyFill="1" applyAlignment="1">
      <alignment wrapText="1"/>
    </xf>
    <xf numFmtId="0" fontId="0" fillId="0" borderId="0" xfId="0" applyAlignment="1">
      <alignment wrapText="1"/>
    </xf>
    <xf numFmtId="0" fontId="13" fillId="0" borderId="0" xfId="0" applyFont="1" applyProtection="1">
      <protection locked="0"/>
    </xf>
    <xf numFmtId="0" fontId="0" fillId="0" borderId="0" xfId="0"/>
    <xf numFmtId="0" fontId="2" fillId="5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4"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08"/>
  <sheetViews>
    <sheetView tabSelected="1" view="pageLayout" zoomScaleNormal="100" workbookViewId="0">
      <selection activeCell="J54" sqref="J54"/>
    </sheetView>
  </sheetViews>
  <sheetFormatPr defaultColWidth="9.109375" defaultRowHeight="13.2" x14ac:dyDescent="0.25"/>
  <cols>
    <col min="1" max="1" width="9.33203125" style="1" customWidth="1"/>
    <col min="2" max="2" width="7.109375" style="1" customWidth="1"/>
    <col min="3" max="3" width="7.33203125" style="1" customWidth="1"/>
    <col min="4" max="5" width="4.6640625" style="1" customWidth="1"/>
    <col min="6" max="6" width="4.5546875" style="1" customWidth="1"/>
    <col min="7" max="7" width="8.109375" style="1" customWidth="1"/>
    <col min="8" max="8" width="8.33203125" style="1" customWidth="1"/>
    <col min="9" max="9" width="5.88671875" style="1" customWidth="1"/>
    <col min="10" max="10" width="7.33203125" style="1" customWidth="1"/>
    <col min="11" max="11" width="5.6640625" style="1" customWidth="1"/>
    <col min="12" max="13" width="6.109375" style="1" customWidth="1"/>
    <col min="14" max="14" width="5.5546875" style="1" customWidth="1"/>
    <col min="15" max="19" width="6" style="1" customWidth="1"/>
    <col min="20" max="20" width="6.109375" style="1" customWidth="1"/>
    <col min="21" max="21" width="9.33203125" style="1" customWidth="1"/>
    <col min="22" max="27" width="9.109375" style="1"/>
    <col min="28" max="28" width="11" style="1" customWidth="1"/>
    <col min="29" max="16384" width="9.109375" style="1"/>
  </cols>
  <sheetData>
    <row r="1" spans="1:29" ht="15.75" customHeight="1" x14ac:dyDescent="0.25">
      <c r="A1" s="170" t="s">
        <v>101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N1" s="194" t="s">
        <v>19</v>
      </c>
      <c r="O1" s="194"/>
      <c r="P1" s="194"/>
      <c r="Q1" s="194"/>
      <c r="R1" s="194"/>
      <c r="S1" s="194"/>
      <c r="T1" s="194"/>
      <c r="U1" s="194"/>
    </row>
    <row r="2" spans="1:29" ht="6.75" customHeight="1" x14ac:dyDescent="0.2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29" ht="39" customHeight="1" x14ac:dyDescent="0.25">
      <c r="A3" s="193" t="s">
        <v>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N3" s="200"/>
      <c r="O3" s="201"/>
      <c r="P3" s="173" t="s">
        <v>35</v>
      </c>
      <c r="Q3" s="174"/>
      <c r="R3" s="175"/>
      <c r="S3" s="173" t="s">
        <v>36</v>
      </c>
      <c r="T3" s="174"/>
      <c r="U3" s="175"/>
      <c r="V3" s="213" t="str">
        <f>IF(P4&gt;=12,"Corect","Trebuie alocate cel puțin 12 de ore pe săptămână")</f>
        <v>Corect</v>
      </c>
      <c r="W3" s="214"/>
      <c r="X3" s="214"/>
      <c r="Y3" s="214"/>
      <c r="Z3" s="1">
        <f>(17+17+16)*14+17*12</f>
        <v>904</v>
      </c>
    </row>
    <row r="4" spans="1:29" ht="17.25" customHeight="1" x14ac:dyDescent="0.25">
      <c r="A4" s="196" t="s">
        <v>103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N4" s="188" t="s">
        <v>14</v>
      </c>
      <c r="O4" s="189"/>
      <c r="P4" s="167">
        <v>17</v>
      </c>
      <c r="Q4" s="168"/>
      <c r="R4" s="169"/>
      <c r="S4" s="167">
        <v>17</v>
      </c>
      <c r="T4" s="168"/>
      <c r="U4" s="169"/>
      <c r="V4" s="213" t="str">
        <f>IF(S4&gt;=12,"Corect","Trebuie alocate cel puțin 12 de ore pe săptămână")</f>
        <v>Corect</v>
      </c>
      <c r="W4" s="214"/>
      <c r="X4" s="214"/>
      <c r="Y4" s="214"/>
    </row>
    <row r="5" spans="1:29" ht="16.5" customHeight="1" x14ac:dyDescent="0.25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N5" s="188" t="s">
        <v>15</v>
      </c>
      <c r="O5" s="189"/>
      <c r="P5" s="167">
        <v>16</v>
      </c>
      <c r="Q5" s="168"/>
      <c r="R5" s="169"/>
      <c r="S5" s="167">
        <v>17</v>
      </c>
      <c r="T5" s="168"/>
      <c r="U5" s="169"/>
      <c r="V5" s="213" t="str">
        <f>IF(P5&gt;=12,"Corect","Trebuie alocate cel puțin 12 de ore pe săptămână")</f>
        <v>Corect</v>
      </c>
      <c r="W5" s="214"/>
      <c r="X5" s="214"/>
      <c r="Y5" s="214"/>
    </row>
    <row r="6" spans="1:29" ht="15" customHeight="1" x14ac:dyDescent="0.25">
      <c r="A6" s="171" t="s">
        <v>104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N6" s="191"/>
      <c r="O6" s="191"/>
      <c r="P6" s="172"/>
      <c r="Q6" s="172"/>
      <c r="R6" s="172"/>
      <c r="S6" s="172"/>
      <c r="T6" s="172"/>
      <c r="U6" s="172"/>
      <c r="V6" s="213" t="str">
        <f>IF(S5&gt;=12,"Corect","Trebuie alocate cel puțin 12 de ore pe săptămână")</f>
        <v>Corect</v>
      </c>
      <c r="W6" s="214"/>
      <c r="X6" s="214"/>
      <c r="Y6" s="214"/>
    </row>
    <row r="7" spans="1:29" ht="18" customHeight="1" x14ac:dyDescent="0.25">
      <c r="A7" s="192" t="s">
        <v>105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</row>
    <row r="8" spans="1:29" ht="18.75" customHeight="1" x14ac:dyDescent="0.25">
      <c r="A8" s="202" t="s">
        <v>106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N8" s="195" t="s">
        <v>94</v>
      </c>
      <c r="O8" s="195"/>
      <c r="P8" s="195"/>
      <c r="Q8" s="195"/>
      <c r="R8" s="195"/>
      <c r="S8" s="195"/>
      <c r="T8" s="195"/>
      <c r="U8" s="195"/>
    </row>
    <row r="9" spans="1:29" ht="15" customHeight="1" x14ac:dyDescent="0.25">
      <c r="A9" s="190" t="s">
        <v>107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N9" s="195"/>
      <c r="O9" s="195"/>
      <c r="P9" s="195"/>
      <c r="Q9" s="195"/>
      <c r="R9" s="195"/>
      <c r="S9" s="195"/>
      <c r="T9" s="195"/>
      <c r="U9" s="195"/>
      <c r="V9" s="216" t="s">
        <v>91</v>
      </c>
      <c r="W9" s="217"/>
      <c r="X9" s="217"/>
      <c r="Y9" s="218"/>
      <c r="Z9" s="218"/>
      <c r="AA9" s="218"/>
    </row>
    <row r="10" spans="1:29" ht="16.5" customHeight="1" x14ac:dyDescent="0.25">
      <c r="A10" s="190" t="s">
        <v>60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N10" s="195"/>
      <c r="O10" s="195"/>
      <c r="P10" s="195"/>
      <c r="Q10" s="195"/>
      <c r="R10" s="195"/>
      <c r="S10" s="195"/>
      <c r="T10" s="195"/>
      <c r="U10" s="195"/>
      <c r="V10" s="217"/>
      <c r="W10" s="217"/>
      <c r="X10" s="217"/>
      <c r="Y10" s="218"/>
      <c r="Z10" s="218"/>
      <c r="AA10" s="218"/>
    </row>
    <row r="11" spans="1:29" x14ac:dyDescent="0.25">
      <c r="A11" s="190" t="s">
        <v>17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N11" s="195"/>
      <c r="O11" s="195"/>
      <c r="P11" s="195"/>
      <c r="Q11" s="195"/>
      <c r="R11" s="195"/>
      <c r="S11" s="195"/>
      <c r="T11" s="195"/>
      <c r="U11" s="195"/>
      <c r="V11" s="217"/>
      <c r="W11" s="217"/>
      <c r="X11" s="217"/>
      <c r="Y11" s="218"/>
      <c r="Z11" s="218"/>
      <c r="AA11" s="218"/>
    </row>
    <row r="12" spans="1:29" ht="10.5" customHeight="1" x14ac:dyDescent="0.25">
      <c r="A12" s="190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N12" s="2"/>
      <c r="O12" s="2"/>
      <c r="P12" s="2"/>
      <c r="Q12" s="2"/>
      <c r="R12" s="2"/>
      <c r="S12" s="2"/>
      <c r="V12" s="217"/>
      <c r="W12" s="217"/>
      <c r="X12" s="217"/>
      <c r="Y12" s="218"/>
      <c r="Z12" s="218"/>
      <c r="AA12" s="218"/>
    </row>
    <row r="13" spans="1:29" x14ac:dyDescent="0.25">
      <c r="A13" s="199" t="s">
        <v>65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N13" s="207" t="s">
        <v>20</v>
      </c>
      <c r="O13" s="207"/>
      <c r="P13" s="207"/>
      <c r="Q13" s="207"/>
      <c r="R13" s="207"/>
      <c r="S13" s="207"/>
      <c r="T13" s="207"/>
      <c r="U13" s="207"/>
    </row>
    <row r="14" spans="1:29" ht="12.75" customHeight="1" x14ac:dyDescent="0.25">
      <c r="A14" s="199" t="s">
        <v>61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N14" s="195" t="s">
        <v>141</v>
      </c>
      <c r="O14" s="195"/>
      <c r="P14" s="195"/>
      <c r="Q14" s="195"/>
      <c r="R14" s="195"/>
      <c r="S14" s="195"/>
      <c r="T14" s="195"/>
      <c r="U14" s="195"/>
    </row>
    <row r="15" spans="1:29" ht="12.75" customHeight="1" x14ac:dyDescent="0.25">
      <c r="A15" s="202" t="s">
        <v>154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N15" s="195" t="s">
        <v>142</v>
      </c>
      <c r="O15" s="195"/>
      <c r="P15" s="195"/>
      <c r="Q15" s="195"/>
      <c r="R15" s="195"/>
      <c r="S15" s="195"/>
      <c r="T15" s="195"/>
      <c r="U15" s="195"/>
      <c r="V15" s="219" t="s">
        <v>92</v>
      </c>
      <c r="W15" s="219"/>
      <c r="X15" s="219"/>
      <c r="Y15" s="219"/>
      <c r="Z15" s="219"/>
      <c r="AA15" s="219"/>
    </row>
    <row r="16" spans="1:29" ht="12.75" customHeight="1" x14ac:dyDescent="0.3">
      <c r="A16" s="202" t="s">
        <v>155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N16" s="195"/>
      <c r="O16" s="195"/>
      <c r="P16" s="195"/>
      <c r="Q16" s="195"/>
      <c r="R16" s="195"/>
      <c r="S16" s="195"/>
      <c r="T16" s="195"/>
      <c r="U16" s="195"/>
      <c r="V16" s="219"/>
      <c r="W16" s="219"/>
      <c r="X16" s="219"/>
      <c r="Y16" s="219"/>
      <c r="Z16" s="219"/>
      <c r="AA16" s="219"/>
      <c r="AB16" s="223"/>
      <c r="AC16" s="224"/>
    </row>
    <row r="17" spans="1:28" ht="12.75" customHeight="1" x14ac:dyDescent="0.25">
      <c r="A17" s="190" t="s">
        <v>1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N17" s="65"/>
      <c r="O17" s="65"/>
      <c r="P17" s="65"/>
      <c r="Q17" s="65"/>
      <c r="R17" s="65"/>
      <c r="S17" s="65"/>
      <c r="T17" s="65"/>
      <c r="U17" s="65"/>
      <c r="V17" s="219"/>
      <c r="W17" s="219"/>
      <c r="X17" s="219"/>
      <c r="Y17" s="219"/>
      <c r="Z17" s="219"/>
      <c r="AA17" s="219"/>
    </row>
    <row r="18" spans="1:28" ht="14.25" customHeight="1" x14ac:dyDescent="0.25">
      <c r="A18" s="202" t="s">
        <v>66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N18" s="65"/>
      <c r="O18" s="65"/>
      <c r="P18" s="65"/>
      <c r="Q18" s="65"/>
      <c r="R18" s="65"/>
      <c r="S18" s="65"/>
      <c r="T18" s="65"/>
      <c r="U18" s="65"/>
    </row>
    <row r="19" spans="1:28" x14ac:dyDescent="0.25">
      <c r="A19" s="199" t="s">
        <v>160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N19" s="65"/>
      <c r="O19" s="65"/>
      <c r="P19" s="65"/>
      <c r="Q19" s="65"/>
      <c r="R19" s="65"/>
      <c r="S19" s="65"/>
      <c r="T19" s="65"/>
      <c r="U19" s="65"/>
    </row>
    <row r="20" spans="1:28" ht="7.5" customHeight="1" x14ac:dyDescent="0.25">
      <c r="A20" s="195" t="s">
        <v>79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N20" s="2"/>
      <c r="O20" s="2"/>
      <c r="P20" s="2"/>
      <c r="Q20" s="2"/>
      <c r="R20" s="2"/>
      <c r="S20" s="2"/>
      <c r="V20" s="220" t="s">
        <v>93</v>
      </c>
      <c r="W20" s="221"/>
      <c r="X20" s="221"/>
      <c r="Y20" s="221"/>
      <c r="Z20" s="221"/>
      <c r="AA20" s="221"/>
      <c r="AB20" s="222"/>
    </row>
    <row r="21" spans="1:28" ht="15" customHeight="1" x14ac:dyDescent="0.25">
      <c r="A21" s="195"/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N21" s="65" t="s">
        <v>157</v>
      </c>
      <c r="O21" s="65"/>
      <c r="P21" s="65"/>
      <c r="Q21" s="65"/>
      <c r="R21" s="65"/>
      <c r="S21" s="65"/>
      <c r="T21" s="65"/>
      <c r="U21" s="65"/>
      <c r="V21" s="222"/>
      <c r="W21" s="222"/>
      <c r="X21" s="222"/>
      <c r="Y21" s="222"/>
      <c r="Z21" s="222"/>
      <c r="AA21" s="222"/>
      <c r="AB21" s="222"/>
    </row>
    <row r="22" spans="1:28" ht="15" customHeight="1" x14ac:dyDescent="0.25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N22" s="65"/>
      <c r="O22" s="65"/>
      <c r="P22" s="65"/>
      <c r="Q22" s="65"/>
      <c r="R22" s="65"/>
      <c r="S22" s="65"/>
      <c r="T22" s="65"/>
      <c r="U22" s="65"/>
      <c r="V22" s="222"/>
      <c r="W22" s="222"/>
      <c r="X22" s="222"/>
      <c r="Y22" s="222"/>
      <c r="Z22" s="222"/>
      <c r="AA22" s="222"/>
      <c r="AB22" s="222"/>
    </row>
    <row r="23" spans="1:28" ht="24" customHeight="1" x14ac:dyDescent="0.25">
      <c r="A23" s="195"/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N23" s="65"/>
      <c r="O23" s="65"/>
      <c r="P23" s="65"/>
      <c r="Q23" s="65"/>
      <c r="R23" s="65"/>
      <c r="S23" s="65"/>
      <c r="T23" s="65"/>
      <c r="U23" s="65"/>
      <c r="V23" s="222"/>
      <c r="W23" s="222"/>
      <c r="X23" s="222"/>
      <c r="Y23" s="222"/>
      <c r="Z23" s="222"/>
      <c r="AA23" s="222"/>
      <c r="AB23" s="222"/>
    </row>
    <row r="24" spans="1:28" ht="13.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N24" s="3"/>
      <c r="O24" s="3"/>
      <c r="P24" s="3"/>
      <c r="Q24" s="3"/>
      <c r="R24" s="3"/>
      <c r="S24" s="3"/>
    </row>
    <row r="25" spans="1:28" ht="13.2" customHeight="1" x14ac:dyDescent="0.25">
      <c r="A25" s="143" t="s">
        <v>16</v>
      </c>
      <c r="B25" s="143"/>
      <c r="C25" s="143"/>
      <c r="D25" s="143"/>
      <c r="E25" s="143"/>
      <c r="F25" s="143"/>
      <c r="G25" s="143"/>
      <c r="N25" s="65" t="s">
        <v>143</v>
      </c>
      <c r="O25" s="65"/>
      <c r="P25" s="65"/>
      <c r="Q25" s="65"/>
      <c r="R25" s="65"/>
      <c r="S25" s="65"/>
      <c r="T25" s="65"/>
      <c r="U25" s="65"/>
    </row>
    <row r="26" spans="1:28" ht="26.25" customHeight="1" x14ac:dyDescent="0.25">
      <c r="A26" s="4"/>
      <c r="B26" s="173" t="s">
        <v>2</v>
      </c>
      <c r="C26" s="175"/>
      <c r="D26" s="173" t="s">
        <v>3</v>
      </c>
      <c r="E26" s="174"/>
      <c r="F26" s="175"/>
      <c r="G26" s="179" t="s">
        <v>18</v>
      </c>
      <c r="H26" s="179" t="s">
        <v>10</v>
      </c>
      <c r="I26" s="173" t="s">
        <v>4</v>
      </c>
      <c r="J26" s="174"/>
      <c r="K26" s="175"/>
      <c r="N26" s="65"/>
      <c r="O26" s="65"/>
      <c r="P26" s="65"/>
      <c r="Q26" s="65"/>
      <c r="R26" s="65"/>
      <c r="S26" s="65"/>
      <c r="T26" s="65"/>
      <c r="U26" s="65"/>
    </row>
    <row r="27" spans="1:28" ht="14.25" customHeight="1" x14ac:dyDescent="0.25">
      <c r="A27" s="4"/>
      <c r="B27" s="5" t="s">
        <v>5</v>
      </c>
      <c r="C27" s="5" t="s">
        <v>6</v>
      </c>
      <c r="D27" s="5" t="s">
        <v>7</v>
      </c>
      <c r="E27" s="5" t="s">
        <v>8</v>
      </c>
      <c r="F27" s="5" t="s">
        <v>9</v>
      </c>
      <c r="G27" s="180"/>
      <c r="H27" s="180"/>
      <c r="I27" s="5" t="s">
        <v>11</v>
      </c>
      <c r="J27" s="5" t="s">
        <v>12</v>
      </c>
      <c r="K27" s="5" t="s">
        <v>13</v>
      </c>
      <c r="N27" s="65"/>
      <c r="O27" s="65"/>
      <c r="P27" s="65"/>
      <c r="Q27" s="65"/>
      <c r="R27" s="65"/>
      <c r="S27" s="65"/>
      <c r="T27" s="65"/>
      <c r="U27" s="65"/>
    </row>
    <row r="28" spans="1:28" ht="17.25" customHeight="1" x14ac:dyDescent="0.25">
      <c r="A28" s="6" t="s">
        <v>14</v>
      </c>
      <c r="B28" s="7">
        <v>14</v>
      </c>
      <c r="C28" s="7">
        <v>14</v>
      </c>
      <c r="D28" s="22">
        <v>3</v>
      </c>
      <c r="E28" s="22">
        <v>3</v>
      </c>
      <c r="F28" s="22">
        <v>2</v>
      </c>
      <c r="G28" s="22">
        <v>0</v>
      </c>
      <c r="H28" s="33" t="s">
        <v>108</v>
      </c>
      <c r="I28" s="22">
        <v>3</v>
      </c>
      <c r="J28" s="22">
        <v>1</v>
      </c>
      <c r="K28" s="22">
        <v>12</v>
      </c>
      <c r="N28" s="65"/>
      <c r="O28" s="65"/>
      <c r="P28" s="65"/>
      <c r="Q28" s="65"/>
      <c r="R28" s="65"/>
      <c r="S28" s="65"/>
      <c r="T28" s="65"/>
      <c r="U28" s="65"/>
      <c r="V28" s="212" t="str">
        <f t="shared" ref="V28" si="0">IF(SUM(B28:K28)=52,"Corect","Suma trebuie să fie 52")</f>
        <v>Corect</v>
      </c>
      <c r="W28" s="212"/>
    </row>
    <row r="29" spans="1:28" ht="15" customHeight="1" x14ac:dyDescent="0.25">
      <c r="A29" s="6" t="s">
        <v>15</v>
      </c>
      <c r="B29" s="7">
        <v>14</v>
      </c>
      <c r="C29" s="7">
        <v>12</v>
      </c>
      <c r="D29" s="22">
        <v>3</v>
      </c>
      <c r="E29" s="22">
        <v>3</v>
      </c>
      <c r="F29" s="22">
        <v>2</v>
      </c>
      <c r="G29" s="22">
        <v>2</v>
      </c>
      <c r="H29" s="22">
        <v>2</v>
      </c>
      <c r="I29" s="22">
        <v>3</v>
      </c>
      <c r="J29" s="22">
        <v>1</v>
      </c>
      <c r="K29" s="22">
        <v>10</v>
      </c>
      <c r="N29" s="65"/>
      <c r="O29" s="65"/>
      <c r="P29" s="65"/>
      <c r="Q29" s="65"/>
      <c r="R29" s="65"/>
      <c r="S29" s="65"/>
      <c r="T29" s="65"/>
      <c r="U29" s="65"/>
      <c r="V29" s="212" t="str">
        <f t="shared" ref="V29" si="1">IF(SUM(B29:K29)=52,"Corect","Suma trebuie să fie 52")</f>
        <v>Corect</v>
      </c>
      <c r="W29" s="212"/>
    </row>
    <row r="30" spans="1:28" ht="15.75" customHeight="1" x14ac:dyDescent="0.25">
      <c r="A30" s="29"/>
      <c r="B30" s="28"/>
      <c r="C30" s="28"/>
      <c r="D30" s="28"/>
      <c r="E30" s="28"/>
      <c r="F30" s="28"/>
      <c r="G30" s="28"/>
      <c r="H30" s="28"/>
      <c r="I30" s="28"/>
      <c r="J30" s="28"/>
      <c r="K30" s="28"/>
      <c r="N30" s="65"/>
      <c r="O30" s="65"/>
      <c r="P30" s="65"/>
      <c r="Q30" s="65"/>
      <c r="R30" s="65"/>
      <c r="S30" s="65"/>
      <c r="T30" s="65"/>
      <c r="U30" s="65"/>
    </row>
    <row r="31" spans="1:28" ht="21" customHeight="1" x14ac:dyDescent="0.25">
      <c r="N31" s="47"/>
      <c r="O31" s="47"/>
      <c r="P31" s="47"/>
      <c r="Q31" s="47"/>
      <c r="R31" s="47"/>
      <c r="S31" s="47"/>
      <c r="T31" s="47"/>
      <c r="U31" s="47"/>
    </row>
    <row r="32" spans="1:28" ht="15" customHeight="1" x14ac:dyDescent="0.25">
      <c r="B32" s="2"/>
      <c r="C32" s="2"/>
      <c r="D32" s="2"/>
      <c r="E32" s="2"/>
      <c r="F32" s="2"/>
      <c r="G32" s="2"/>
      <c r="N32" s="8"/>
      <c r="O32" s="8"/>
      <c r="P32" s="8"/>
      <c r="Q32" s="8"/>
      <c r="R32" s="8"/>
      <c r="S32" s="8"/>
      <c r="T32" s="8"/>
    </row>
    <row r="33" spans="1:24" x14ac:dyDescent="0.25">
      <c r="B33" s="8"/>
      <c r="C33" s="8"/>
      <c r="D33" s="8"/>
      <c r="E33" s="8"/>
      <c r="F33" s="8"/>
      <c r="G33" s="8"/>
      <c r="N33" s="8"/>
      <c r="O33" s="8"/>
      <c r="P33" s="8"/>
      <c r="Q33" s="8"/>
      <c r="R33" s="8"/>
      <c r="S33" s="8"/>
      <c r="T33" s="8"/>
    </row>
    <row r="35" spans="1:24" ht="20.25" customHeight="1" x14ac:dyDescent="0.25">
      <c r="A35" s="197" t="s">
        <v>21</v>
      </c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</row>
    <row r="36" spans="1:24" ht="20.25" hidden="1" customHeight="1" x14ac:dyDescent="0.25">
      <c r="O36" s="9"/>
      <c r="P36" s="10" t="s">
        <v>37</v>
      </c>
      <c r="Q36" s="10" t="s">
        <v>38</v>
      </c>
      <c r="R36" s="10" t="s">
        <v>39</v>
      </c>
      <c r="S36" s="10" t="s">
        <v>98</v>
      </c>
      <c r="T36" s="10" t="s">
        <v>99</v>
      </c>
      <c r="U36" s="10"/>
    </row>
    <row r="37" spans="1:24" ht="20.25" customHeight="1" x14ac:dyDescent="0.25">
      <c r="A37" s="90" t="s">
        <v>42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</row>
    <row r="38" spans="1:24" ht="27.75" customHeight="1" x14ac:dyDescent="0.25">
      <c r="A38" s="186" t="s">
        <v>27</v>
      </c>
      <c r="B38" s="157" t="s">
        <v>26</v>
      </c>
      <c r="C38" s="158"/>
      <c r="D38" s="158"/>
      <c r="E38" s="158"/>
      <c r="F38" s="158"/>
      <c r="G38" s="158"/>
      <c r="H38" s="158"/>
      <c r="I38" s="159"/>
      <c r="J38" s="179" t="s">
        <v>40</v>
      </c>
      <c r="K38" s="181" t="s">
        <v>24</v>
      </c>
      <c r="L38" s="182"/>
      <c r="M38" s="182"/>
      <c r="N38" s="183"/>
      <c r="O38" s="181" t="s">
        <v>41</v>
      </c>
      <c r="P38" s="184"/>
      <c r="Q38" s="185"/>
      <c r="R38" s="181" t="s">
        <v>23</v>
      </c>
      <c r="S38" s="182"/>
      <c r="T38" s="183"/>
      <c r="U38" s="203" t="s">
        <v>22</v>
      </c>
    </row>
    <row r="39" spans="1:24" ht="20.25" customHeight="1" x14ac:dyDescent="0.25">
      <c r="A39" s="187"/>
      <c r="B39" s="160"/>
      <c r="C39" s="161"/>
      <c r="D39" s="161"/>
      <c r="E39" s="161"/>
      <c r="F39" s="161"/>
      <c r="G39" s="161"/>
      <c r="H39" s="161"/>
      <c r="I39" s="162"/>
      <c r="J39" s="180"/>
      <c r="K39" s="5" t="s">
        <v>28</v>
      </c>
      <c r="L39" s="5" t="s">
        <v>29</v>
      </c>
      <c r="M39" s="5" t="s">
        <v>109</v>
      </c>
      <c r="N39" s="5" t="s">
        <v>110</v>
      </c>
      <c r="O39" s="5" t="s">
        <v>34</v>
      </c>
      <c r="P39" s="5" t="s">
        <v>7</v>
      </c>
      <c r="Q39" s="5" t="s">
        <v>31</v>
      </c>
      <c r="R39" s="5" t="s">
        <v>32</v>
      </c>
      <c r="S39" s="5" t="s">
        <v>28</v>
      </c>
      <c r="T39" s="5" t="s">
        <v>33</v>
      </c>
      <c r="U39" s="180"/>
    </row>
    <row r="40" spans="1:24" ht="20.25" customHeight="1" x14ac:dyDescent="0.25">
      <c r="A40" s="41" t="s">
        <v>111</v>
      </c>
      <c r="B40" s="176" t="s">
        <v>112</v>
      </c>
      <c r="C40" s="177"/>
      <c r="D40" s="177"/>
      <c r="E40" s="177"/>
      <c r="F40" s="177"/>
      <c r="G40" s="177"/>
      <c r="H40" s="177"/>
      <c r="I40" s="178"/>
      <c r="J40" s="11">
        <v>7</v>
      </c>
      <c r="K40" s="11">
        <v>2</v>
      </c>
      <c r="L40" s="11">
        <v>1</v>
      </c>
      <c r="M40" s="11">
        <v>0</v>
      </c>
      <c r="N40" s="11">
        <v>1</v>
      </c>
      <c r="O40" s="16">
        <f>K40+L40+N40+M40</f>
        <v>4</v>
      </c>
      <c r="P40" s="17">
        <f>Q40-O40</f>
        <v>9</v>
      </c>
      <c r="Q40" s="17">
        <f>ROUND(PRODUCT(J40,25)/14,0)</f>
        <v>13</v>
      </c>
      <c r="R40" s="21" t="s">
        <v>32</v>
      </c>
      <c r="S40" s="11"/>
      <c r="T40" s="22"/>
      <c r="U40" s="11" t="s">
        <v>39</v>
      </c>
    </row>
    <row r="41" spans="1:24" s="57" customFormat="1" ht="27.6" customHeight="1" x14ac:dyDescent="0.25">
      <c r="A41" s="41" t="s">
        <v>123</v>
      </c>
      <c r="B41" s="204" t="s">
        <v>124</v>
      </c>
      <c r="C41" s="205"/>
      <c r="D41" s="205"/>
      <c r="E41" s="205"/>
      <c r="F41" s="205"/>
      <c r="G41" s="205"/>
      <c r="H41" s="205"/>
      <c r="I41" s="206"/>
      <c r="J41" s="11">
        <v>9</v>
      </c>
      <c r="K41" s="11">
        <v>2</v>
      </c>
      <c r="L41" s="11">
        <v>1</v>
      </c>
      <c r="M41" s="11">
        <v>1</v>
      </c>
      <c r="N41" s="11">
        <v>1</v>
      </c>
      <c r="O41" s="58">
        <f t="shared" ref="O41:O43" si="2">K41+L41+N41+M41</f>
        <v>5</v>
      </c>
      <c r="P41" s="17">
        <f t="shared" ref="P41:P43" si="3">Q41-O41</f>
        <v>11</v>
      </c>
      <c r="Q41" s="17">
        <f t="shared" ref="Q41:Q43" si="4">ROUND(PRODUCT(J41,25)/14,0)</f>
        <v>16</v>
      </c>
      <c r="R41" s="21"/>
      <c r="S41" s="11"/>
      <c r="T41" s="22" t="s">
        <v>33</v>
      </c>
      <c r="U41" s="11" t="s">
        <v>37</v>
      </c>
    </row>
    <row r="42" spans="1:24" ht="20.25" customHeight="1" x14ac:dyDescent="0.25">
      <c r="A42" s="41" t="s">
        <v>115</v>
      </c>
      <c r="B42" s="176" t="s">
        <v>116</v>
      </c>
      <c r="C42" s="177"/>
      <c r="D42" s="177"/>
      <c r="E42" s="177"/>
      <c r="F42" s="177"/>
      <c r="G42" s="177"/>
      <c r="H42" s="177"/>
      <c r="I42" s="178"/>
      <c r="J42" s="11">
        <v>7</v>
      </c>
      <c r="K42" s="11">
        <v>2</v>
      </c>
      <c r="L42" s="11">
        <v>1</v>
      </c>
      <c r="M42" s="11">
        <v>0</v>
      </c>
      <c r="N42" s="11">
        <v>1</v>
      </c>
      <c r="O42" s="16">
        <f t="shared" si="2"/>
        <v>4</v>
      </c>
      <c r="P42" s="17">
        <f t="shared" si="3"/>
        <v>9</v>
      </c>
      <c r="Q42" s="17">
        <f t="shared" si="4"/>
        <v>13</v>
      </c>
      <c r="R42" s="21" t="s">
        <v>32</v>
      </c>
      <c r="S42" s="11"/>
      <c r="T42" s="22"/>
      <c r="U42" s="11" t="s">
        <v>39</v>
      </c>
    </row>
    <row r="43" spans="1:24" ht="20.25" customHeight="1" x14ac:dyDescent="0.25">
      <c r="A43" s="41" t="s">
        <v>117</v>
      </c>
      <c r="B43" s="176" t="s">
        <v>118</v>
      </c>
      <c r="C43" s="177"/>
      <c r="D43" s="177"/>
      <c r="E43" s="177"/>
      <c r="F43" s="177"/>
      <c r="G43" s="177"/>
      <c r="H43" s="177"/>
      <c r="I43" s="178"/>
      <c r="J43" s="11">
        <v>7</v>
      </c>
      <c r="K43" s="11">
        <v>2</v>
      </c>
      <c r="L43" s="11">
        <v>0</v>
      </c>
      <c r="M43" s="11">
        <v>2</v>
      </c>
      <c r="N43" s="11">
        <v>1</v>
      </c>
      <c r="O43" s="16">
        <f t="shared" si="2"/>
        <v>5</v>
      </c>
      <c r="P43" s="17">
        <f t="shared" si="3"/>
        <v>8</v>
      </c>
      <c r="Q43" s="17">
        <f t="shared" si="4"/>
        <v>13</v>
      </c>
      <c r="R43" s="21"/>
      <c r="S43" s="11" t="s">
        <v>28</v>
      </c>
      <c r="T43" s="22"/>
      <c r="U43" s="11" t="s">
        <v>37</v>
      </c>
    </row>
    <row r="44" spans="1:24" x14ac:dyDescent="0.25">
      <c r="A44" s="18" t="s">
        <v>25</v>
      </c>
      <c r="B44" s="95"/>
      <c r="C44" s="96"/>
      <c r="D44" s="96"/>
      <c r="E44" s="96"/>
      <c r="F44" s="96"/>
      <c r="G44" s="96"/>
      <c r="H44" s="96"/>
      <c r="I44" s="97"/>
      <c r="J44" s="18">
        <f>SUM(J40:J43)</f>
        <v>30</v>
      </c>
      <c r="K44" s="18">
        <f>SUM(K40:K43)</f>
        <v>8</v>
      </c>
      <c r="L44" s="18">
        <f>SUM(L40:L43)</f>
        <v>3</v>
      </c>
      <c r="M44" s="18">
        <f>SUM(M40:M43)</f>
        <v>3</v>
      </c>
      <c r="N44" s="18">
        <f>SUM(N40:N43)</f>
        <v>4</v>
      </c>
      <c r="O44" s="18">
        <f>SUM(O40:O43)</f>
        <v>18</v>
      </c>
      <c r="P44" s="18">
        <f>SUM(P40:P43)</f>
        <v>37</v>
      </c>
      <c r="Q44" s="18">
        <f>SUM(Q40:Q43)</f>
        <v>55</v>
      </c>
      <c r="R44" s="18">
        <f>COUNTIF(R40:R43,"E")</f>
        <v>2</v>
      </c>
      <c r="S44" s="18">
        <f>COUNTIF(S40:S43,"C")</f>
        <v>1</v>
      </c>
      <c r="T44" s="18">
        <f>COUNTIF(T40:T43,"VP")</f>
        <v>1</v>
      </c>
      <c r="U44" s="42">
        <f>COUNTA(U40:U43)</f>
        <v>4</v>
      </c>
      <c r="V44" s="209" t="str">
        <f>IF(R44&gt;=SUM(S44:T44),"Corect","E trebuie să fie cel puțin egal cu C+VP")</f>
        <v>Corect</v>
      </c>
      <c r="W44" s="210"/>
      <c r="X44" s="210"/>
    </row>
    <row r="45" spans="1:24" ht="19.5" customHeight="1" x14ac:dyDescent="0.25"/>
    <row r="46" spans="1:24" ht="19.5" customHeight="1" x14ac:dyDescent="0.25"/>
    <row r="47" spans="1:24" ht="19.5" customHeight="1" x14ac:dyDescent="0.25"/>
    <row r="48" spans="1:24" ht="19.5" customHeight="1" x14ac:dyDescent="0.25"/>
    <row r="49" spans="1:24" ht="16.5" customHeight="1" x14ac:dyDescent="0.25">
      <c r="A49" s="90" t="s">
        <v>43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</row>
    <row r="50" spans="1:24" ht="26.25" customHeight="1" x14ac:dyDescent="0.25">
      <c r="A50" s="186" t="s">
        <v>27</v>
      </c>
      <c r="B50" s="157" t="s">
        <v>26</v>
      </c>
      <c r="C50" s="158"/>
      <c r="D50" s="158"/>
      <c r="E50" s="158"/>
      <c r="F50" s="158"/>
      <c r="G50" s="158"/>
      <c r="H50" s="158"/>
      <c r="I50" s="159"/>
      <c r="J50" s="179" t="s">
        <v>40</v>
      </c>
      <c r="K50" s="181" t="s">
        <v>24</v>
      </c>
      <c r="L50" s="182"/>
      <c r="M50" s="182"/>
      <c r="N50" s="183"/>
      <c r="O50" s="181" t="s">
        <v>41</v>
      </c>
      <c r="P50" s="184"/>
      <c r="Q50" s="185"/>
      <c r="R50" s="181" t="s">
        <v>23</v>
      </c>
      <c r="S50" s="182"/>
      <c r="T50" s="183"/>
      <c r="U50" s="203" t="s">
        <v>22</v>
      </c>
    </row>
    <row r="51" spans="1:24" ht="12.75" customHeight="1" x14ac:dyDescent="0.25">
      <c r="A51" s="187"/>
      <c r="B51" s="160"/>
      <c r="C51" s="161"/>
      <c r="D51" s="161"/>
      <c r="E51" s="161"/>
      <c r="F51" s="161"/>
      <c r="G51" s="161"/>
      <c r="H51" s="161"/>
      <c r="I51" s="162"/>
      <c r="J51" s="180"/>
      <c r="K51" s="5" t="s">
        <v>28</v>
      </c>
      <c r="L51" s="5" t="s">
        <v>29</v>
      </c>
      <c r="M51" s="5" t="s">
        <v>109</v>
      </c>
      <c r="N51" s="5" t="s">
        <v>110</v>
      </c>
      <c r="O51" s="5" t="s">
        <v>34</v>
      </c>
      <c r="P51" s="5" t="s">
        <v>7</v>
      </c>
      <c r="Q51" s="5" t="s">
        <v>31</v>
      </c>
      <c r="R51" s="5" t="s">
        <v>32</v>
      </c>
      <c r="S51" s="5" t="s">
        <v>28</v>
      </c>
      <c r="T51" s="5" t="s">
        <v>33</v>
      </c>
      <c r="U51" s="180"/>
    </row>
    <row r="52" spans="1:24" x14ac:dyDescent="0.25">
      <c r="A52" s="41" t="s">
        <v>119</v>
      </c>
      <c r="B52" s="176" t="s">
        <v>120</v>
      </c>
      <c r="C52" s="177"/>
      <c r="D52" s="177"/>
      <c r="E52" s="177"/>
      <c r="F52" s="177"/>
      <c r="G52" s="177"/>
      <c r="H52" s="177"/>
      <c r="I52" s="178"/>
      <c r="J52" s="11">
        <v>8</v>
      </c>
      <c r="K52" s="11">
        <v>2</v>
      </c>
      <c r="L52" s="11">
        <v>1</v>
      </c>
      <c r="M52" s="11">
        <v>0</v>
      </c>
      <c r="N52" s="11">
        <v>1</v>
      </c>
      <c r="O52" s="16">
        <f>K52+L52+N52+M52</f>
        <v>4</v>
      </c>
      <c r="P52" s="17">
        <f>Q52-O52</f>
        <v>10</v>
      </c>
      <c r="Q52" s="17">
        <f>ROUND(PRODUCT(J52,25)/14,0)</f>
        <v>14</v>
      </c>
      <c r="R52" s="21" t="s">
        <v>32</v>
      </c>
      <c r="S52" s="11"/>
      <c r="T52" s="22"/>
      <c r="U52" s="11" t="s">
        <v>37</v>
      </c>
    </row>
    <row r="53" spans="1:24" x14ac:dyDescent="0.25">
      <c r="A53" s="41" t="s">
        <v>121</v>
      </c>
      <c r="B53" s="176" t="s">
        <v>122</v>
      </c>
      <c r="C53" s="177"/>
      <c r="D53" s="177"/>
      <c r="E53" s="177"/>
      <c r="F53" s="177"/>
      <c r="G53" s="177"/>
      <c r="H53" s="177"/>
      <c r="I53" s="178"/>
      <c r="J53" s="11">
        <v>8</v>
      </c>
      <c r="K53" s="11">
        <v>2</v>
      </c>
      <c r="L53" s="11">
        <v>1</v>
      </c>
      <c r="M53" s="11">
        <v>0</v>
      </c>
      <c r="N53" s="11">
        <v>1</v>
      </c>
      <c r="O53" s="16">
        <f t="shared" ref="O53:O55" si="5">K53+L53+N53+M53</f>
        <v>4</v>
      </c>
      <c r="P53" s="17">
        <f t="shared" ref="P53:P55" si="6">Q53-O53</f>
        <v>10</v>
      </c>
      <c r="Q53" s="17">
        <f t="shared" ref="Q53:Q55" si="7">ROUND(PRODUCT(J53,25)/14,0)</f>
        <v>14</v>
      </c>
      <c r="R53" s="21" t="s">
        <v>32</v>
      </c>
      <c r="S53" s="11"/>
      <c r="T53" s="22"/>
      <c r="U53" s="11" t="s">
        <v>37</v>
      </c>
    </row>
    <row r="54" spans="1:24" ht="26.25" customHeight="1" x14ac:dyDescent="0.25">
      <c r="A54" s="41" t="s">
        <v>113</v>
      </c>
      <c r="B54" s="176" t="s">
        <v>114</v>
      </c>
      <c r="C54" s="177"/>
      <c r="D54" s="177"/>
      <c r="E54" s="177"/>
      <c r="F54" s="177"/>
      <c r="G54" s="177"/>
      <c r="H54" s="177"/>
      <c r="I54" s="178"/>
      <c r="J54" s="11">
        <v>7</v>
      </c>
      <c r="K54" s="11">
        <v>2</v>
      </c>
      <c r="L54" s="11">
        <v>1</v>
      </c>
      <c r="M54" s="11">
        <v>0</v>
      </c>
      <c r="N54" s="11">
        <v>1</v>
      </c>
      <c r="O54" s="58">
        <f t="shared" si="5"/>
        <v>4</v>
      </c>
      <c r="P54" s="17">
        <f t="shared" si="6"/>
        <v>9</v>
      </c>
      <c r="Q54" s="17">
        <f t="shared" si="7"/>
        <v>13</v>
      </c>
      <c r="R54" s="21"/>
      <c r="S54" s="11" t="s">
        <v>28</v>
      </c>
      <c r="T54" s="22"/>
      <c r="U54" s="11" t="s">
        <v>39</v>
      </c>
    </row>
    <row r="55" spans="1:24" ht="27.75" customHeight="1" x14ac:dyDescent="0.25">
      <c r="A55" s="41" t="s">
        <v>125</v>
      </c>
      <c r="B55" s="204" t="s">
        <v>126</v>
      </c>
      <c r="C55" s="205"/>
      <c r="D55" s="205"/>
      <c r="E55" s="205"/>
      <c r="F55" s="205"/>
      <c r="G55" s="205"/>
      <c r="H55" s="205"/>
      <c r="I55" s="206"/>
      <c r="J55" s="11">
        <v>7</v>
      </c>
      <c r="K55" s="11">
        <v>1</v>
      </c>
      <c r="L55" s="11">
        <v>0</v>
      </c>
      <c r="M55" s="11">
        <v>2</v>
      </c>
      <c r="N55" s="11">
        <v>1</v>
      </c>
      <c r="O55" s="16">
        <f t="shared" si="5"/>
        <v>4</v>
      </c>
      <c r="P55" s="17">
        <f t="shared" si="6"/>
        <v>9</v>
      </c>
      <c r="Q55" s="17">
        <f t="shared" si="7"/>
        <v>13</v>
      </c>
      <c r="R55" s="21"/>
      <c r="S55" s="11" t="s">
        <v>28</v>
      </c>
      <c r="T55" s="22"/>
      <c r="U55" s="11" t="s">
        <v>37</v>
      </c>
    </row>
    <row r="56" spans="1:24" x14ac:dyDescent="0.25">
      <c r="A56" s="18" t="s">
        <v>25</v>
      </c>
      <c r="B56" s="95"/>
      <c r="C56" s="96"/>
      <c r="D56" s="96"/>
      <c r="E56" s="96"/>
      <c r="F56" s="96"/>
      <c r="G56" s="96"/>
      <c r="H56" s="96"/>
      <c r="I56" s="97"/>
      <c r="J56" s="18">
        <f t="shared" ref="J56:Q56" si="8">SUM(J52:J55)</f>
        <v>30</v>
      </c>
      <c r="K56" s="18">
        <f t="shared" si="8"/>
        <v>7</v>
      </c>
      <c r="L56" s="18">
        <f t="shared" si="8"/>
        <v>3</v>
      </c>
      <c r="M56" s="18">
        <f t="shared" si="8"/>
        <v>2</v>
      </c>
      <c r="N56" s="18">
        <f t="shared" si="8"/>
        <v>4</v>
      </c>
      <c r="O56" s="18">
        <f t="shared" si="8"/>
        <v>16</v>
      </c>
      <c r="P56" s="18">
        <f t="shared" si="8"/>
        <v>38</v>
      </c>
      <c r="Q56" s="18">
        <f t="shared" si="8"/>
        <v>54</v>
      </c>
      <c r="R56" s="18">
        <f>COUNTIF(R52:R55,"E")</f>
        <v>2</v>
      </c>
      <c r="S56" s="18">
        <f>COUNTIF(S52:S55,"C")</f>
        <v>2</v>
      </c>
      <c r="T56" s="18">
        <f>COUNTIF(T52:T55,"VP")</f>
        <v>0</v>
      </c>
      <c r="U56" s="42">
        <f>COUNTA(U52:U55)</f>
        <v>4</v>
      </c>
      <c r="V56" s="209" t="str">
        <f>IF(R56&gt;=SUM(S56:T56),"Corect","E trebuie să fie cel puțin egal cu C+VP")</f>
        <v>Corect</v>
      </c>
      <c r="W56" s="210"/>
      <c r="X56" s="210"/>
    </row>
    <row r="57" spans="1:24" ht="11.25" customHeight="1" x14ac:dyDescent="0.25"/>
    <row r="58" spans="1:24" ht="18" customHeight="1" x14ac:dyDescent="0.25">
      <c r="A58" s="90" t="s">
        <v>44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</row>
    <row r="59" spans="1:24" ht="25.5" customHeight="1" x14ac:dyDescent="0.25">
      <c r="A59" s="186" t="s">
        <v>27</v>
      </c>
      <c r="B59" s="157" t="s">
        <v>26</v>
      </c>
      <c r="C59" s="158"/>
      <c r="D59" s="158"/>
      <c r="E59" s="158"/>
      <c r="F59" s="158"/>
      <c r="G59" s="158"/>
      <c r="H59" s="158"/>
      <c r="I59" s="159"/>
      <c r="J59" s="179" t="s">
        <v>40</v>
      </c>
      <c r="K59" s="181" t="s">
        <v>24</v>
      </c>
      <c r="L59" s="182"/>
      <c r="M59" s="182"/>
      <c r="N59" s="183"/>
      <c r="O59" s="181" t="s">
        <v>41</v>
      </c>
      <c r="P59" s="184"/>
      <c r="Q59" s="185"/>
      <c r="R59" s="181" t="s">
        <v>23</v>
      </c>
      <c r="S59" s="182"/>
      <c r="T59" s="183"/>
      <c r="U59" s="203" t="s">
        <v>22</v>
      </c>
    </row>
    <row r="60" spans="1:24" ht="16.5" customHeight="1" x14ac:dyDescent="0.25">
      <c r="A60" s="187"/>
      <c r="B60" s="160"/>
      <c r="C60" s="161"/>
      <c r="D60" s="161"/>
      <c r="E60" s="161"/>
      <c r="F60" s="161"/>
      <c r="G60" s="161"/>
      <c r="H60" s="161"/>
      <c r="I60" s="162"/>
      <c r="J60" s="180"/>
      <c r="K60" s="5" t="s">
        <v>28</v>
      </c>
      <c r="L60" s="5" t="s">
        <v>29</v>
      </c>
      <c r="M60" s="5" t="s">
        <v>109</v>
      </c>
      <c r="N60" s="5" t="s">
        <v>110</v>
      </c>
      <c r="O60" s="5" t="s">
        <v>34</v>
      </c>
      <c r="P60" s="5" t="s">
        <v>7</v>
      </c>
      <c r="Q60" s="5" t="s">
        <v>31</v>
      </c>
      <c r="R60" s="5" t="s">
        <v>32</v>
      </c>
      <c r="S60" s="5" t="s">
        <v>28</v>
      </c>
      <c r="T60" s="5" t="s">
        <v>33</v>
      </c>
      <c r="U60" s="180"/>
    </row>
    <row r="61" spans="1:24" x14ac:dyDescent="0.25">
      <c r="A61" s="41" t="s">
        <v>127</v>
      </c>
      <c r="B61" s="176" t="s">
        <v>128</v>
      </c>
      <c r="C61" s="177"/>
      <c r="D61" s="177"/>
      <c r="E61" s="177"/>
      <c r="F61" s="177"/>
      <c r="G61" s="177"/>
      <c r="H61" s="177"/>
      <c r="I61" s="178"/>
      <c r="J61" s="11">
        <v>8</v>
      </c>
      <c r="K61" s="11">
        <v>2</v>
      </c>
      <c r="L61" s="11">
        <v>1</v>
      </c>
      <c r="M61" s="11">
        <v>1</v>
      </c>
      <c r="N61" s="11">
        <v>1</v>
      </c>
      <c r="O61" s="16">
        <f>K61+L61+N61+M61</f>
        <v>5</v>
      </c>
      <c r="P61" s="17">
        <f>Q61-O61</f>
        <v>9</v>
      </c>
      <c r="Q61" s="17">
        <f>ROUND(PRODUCT(J61,25)/14,0)</f>
        <v>14</v>
      </c>
      <c r="R61" s="21" t="s">
        <v>32</v>
      </c>
      <c r="S61" s="11"/>
      <c r="T61" s="22"/>
      <c r="U61" s="11" t="s">
        <v>37</v>
      </c>
    </row>
    <row r="62" spans="1:24" x14ac:dyDescent="0.25">
      <c r="A62" s="41" t="s">
        <v>129</v>
      </c>
      <c r="B62" s="176" t="s">
        <v>130</v>
      </c>
      <c r="C62" s="177"/>
      <c r="D62" s="177"/>
      <c r="E62" s="177"/>
      <c r="F62" s="177"/>
      <c r="G62" s="177"/>
      <c r="H62" s="177"/>
      <c r="I62" s="178"/>
      <c r="J62" s="11">
        <v>8</v>
      </c>
      <c r="K62" s="11">
        <v>2</v>
      </c>
      <c r="L62" s="11">
        <v>1</v>
      </c>
      <c r="M62" s="11">
        <v>0</v>
      </c>
      <c r="N62" s="11">
        <v>1</v>
      </c>
      <c r="O62" s="16">
        <f t="shared" ref="O62:O64" si="9">K62+L62+N62+M62</f>
        <v>4</v>
      </c>
      <c r="P62" s="17">
        <f t="shared" ref="P62:P64" si="10">Q62-O62</f>
        <v>10</v>
      </c>
      <c r="Q62" s="17">
        <f t="shared" ref="Q62:Q64" si="11">ROUND(PRODUCT(J62,25)/14,0)</f>
        <v>14</v>
      </c>
      <c r="R62" s="21" t="s">
        <v>32</v>
      </c>
      <c r="S62" s="11"/>
      <c r="T62" s="22"/>
      <c r="U62" s="11" t="s">
        <v>37</v>
      </c>
    </row>
    <row r="63" spans="1:24" x14ac:dyDescent="0.25">
      <c r="A63" s="41" t="s">
        <v>131</v>
      </c>
      <c r="B63" s="176" t="s">
        <v>132</v>
      </c>
      <c r="C63" s="177"/>
      <c r="D63" s="177"/>
      <c r="E63" s="177"/>
      <c r="F63" s="177"/>
      <c r="G63" s="177"/>
      <c r="H63" s="177"/>
      <c r="I63" s="178"/>
      <c r="J63" s="11">
        <v>6</v>
      </c>
      <c r="K63" s="11">
        <v>2</v>
      </c>
      <c r="L63" s="11">
        <v>1</v>
      </c>
      <c r="M63" s="11">
        <v>0</v>
      </c>
      <c r="N63" s="11">
        <v>0</v>
      </c>
      <c r="O63" s="16">
        <f t="shared" si="9"/>
        <v>3</v>
      </c>
      <c r="P63" s="17">
        <f t="shared" si="10"/>
        <v>8</v>
      </c>
      <c r="Q63" s="17">
        <f t="shared" si="11"/>
        <v>11</v>
      </c>
      <c r="R63" s="21"/>
      <c r="S63" s="11" t="s">
        <v>28</v>
      </c>
      <c r="T63" s="22"/>
      <c r="U63" s="11" t="s">
        <v>37</v>
      </c>
    </row>
    <row r="64" spans="1:24" x14ac:dyDescent="0.25">
      <c r="A64" s="41" t="s">
        <v>133</v>
      </c>
      <c r="B64" s="176" t="s">
        <v>134</v>
      </c>
      <c r="C64" s="177"/>
      <c r="D64" s="177"/>
      <c r="E64" s="177"/>
      <c r="F64" s="177"/>
      <c r="G64" s="177"/>
      <c r="H64" s="177"/>
      <c r="I64" s="178"/>
      <c r="J64" s="11">
        <v>8</v>
      </c>
      <c r="K64" s="11">
        <v>2</v>
      </c>
      <c r="L64" s="11">
        <v>0</v>
      </c>
      <c r="M64" s="11">
        <v>1</v>
      </c>
      <c r="N64" s="11">
        <v>1</v>
      </c>
      <c r="O64" s="16">
        <f t="shared" si="9"/>
        <v>4</v>
      </c>
      <c r="P64" s="17">
        <f t="shared" si="10"/>
        <v>10</v>
      </c>
      <c r="Q64" s="17">
        <f t="shared" si="11"/>
        <v>14</v>
      </c>
      <c r="R64" s="21"/>
      <c r="S64" s="11" t="s">
        <v>28</v>
      </c>
      <c r="T64" s="22"/>
      <c r="U64" s="11" t="s">
        <v>37</v>
      </c>
    </row>
    <row r="65" spans="1:24" x14ac:dyDescent="0.25">
      <c r="A65" s="18" t="s">
        <v>25</v>
      </c>
      <c r="B65" s="95"/>
      <c r="C65" s="96"/>
      <c r="D65" s="96"/>
      <c r="E65" s="96"/>
      <c r="F65" s="96"/>
      <c r="G65" s="96"/>
      <c r="H65" s="96"/>
      <c r="I65" s="97"/>
      <c r="J65" s="18">
        <f t="shared" ref="J65:Q65" si="12">SUM(J61:J64)</f>
        <v>30</v>
      </c>
      <c r="K65" s="18">
        <f t="shared" si="12"/>
        <v>8</v>
      </c>
      <c r="L65" s="18">
        <f t="shared" si="12"/>
        <v>3</v>
      </c>
      <c r="M65" s="18">
        <f t="shared" si="12"/>
        <v>2</v>
      </c>
      <c r="N65" s="18">
        <f t="shared" si="12"/>
        <v>3</v>
      </c>
      <c r="O65" s="18">
        <f t="shared" si="12"/>
        <v>16</v>
      </c>
      <c r="P65" s="18">
        <f t="shared" si="12"/>
        <v>37</v>
      </c>
      <c r="Q65" s="18">
        <f t="shared" si="12"/>
        <v>53</v>
      </c>
      <c r="R65" s="18">
        <f>COUNTIF(R61:R64,"E")</f>
        <v>2</v>
      </c>
      <c r="S65" s="18">
        <f>COUNTIF(S61:S64,"C")</f>
        <v>2</v>
      </c>
      <c r="T65" s="18">
        <f>COUNTIF(T61:T64,"VP")</f>
        <v>0</v>
      </c>
      <c r="U65" s="42">
        <f>COUNTA(U61:U64)</f>
        <v>4</v>
      </c>
      <c r="V65" s="209" t="str">
        <f>IF(R65&gt;=SUM(S65:T65),"Corect","E trebuie să fie cel puțin egal cu C+VP")</f>
        <v>Corect</v>
      </c>
      <c r="W65" s="210"/>
      <c r="X65" s="210"/>
    </row>
    <row r="66" spans="1:24" ht="21.75" customHeight="1" x14ac:dyDescent="0.25"/>
    <row r="67" spans="1:24" ht="18.75" customHeight="1" x14ac:dyDescent="0.25">
      <c r="A67" s="90" t="s">
        <v>45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</row>
    <row r="68" spans="1:24" ht="24.75" customHeight="1" x14ac:dyDescent="0.25">
      <c r="A68" s="186" t="s">
        <v>27</v>
      </c>
      <c r="B68" s="157" t="s">
        <v>26</v>
      </c>
      <c r="C68" s="158"/>
      <c r="D68" s="158"/>
      <c r="E68" s="158"/>
      <c r="F68" s="158"/>
      <c r="G68" s="158"/>
      <c r="H68" s="158"/>
      <c r="I68" s="159"/>
      <c r="J68" s="179" t="s">
        <v>40</v>
      </c>
      <c r="K68" s="181" t="s">
        <v>24</v>
      </c>
      <c r="L68" s="182"/>
      <c r="M68" s="182"/>
      <c r="N68" s="183"/>
      <c r="O68" s="181" t="s">
        <v>41</v>
      </c>
      <c r="P68" s="184"/>
      <c r="Q68" s="185"/>
      <c r="R68" s="181" t="s">
        <v>23</v>
      </c>
      <c r="S68" s="182"/>
      <c r="T68" s="183"/>
      <c r="U68" s="203" t="s">
        <v>22</v>
      </c>
      <c r="V68" s="1">
        <f>162*14+63*12</f>
        <v>3024</v>
      </c>
    </row>
    <row r="69" spans="1:24" x14ac:dyDescent="0.25">
      <c r="A69" s="187"/>
      <c r="B69" s="160"/>
      <c r="C69" s="161"/>
      <c r="D69" s="161"/>
      <c r="E69" s="161"/>
      <c r="F69" s="161"/>
      <c r="G69" s="161"/>
      <c r="H69" s="161"/>
      <c r="I69" s="162"/>
      <c r="J69" s="180"/>
      <c r="K69" s="5" t="s">
        <v>28</v>
      </c>
      <c r="L69" s="5" t="s">
        <v>29</v>
      </c>
      <c r="M69" s="5" t="s">
        <v>109</v>
      </c>
      <c r="N69" s="5" t="s">
        <v>110</v>
      </c>
      <c r="O69" s="5" t="s">
        <v>34</v>
      </c>
      <c r="P69" s="5" t="s">
        <v>7</v>
      </c>
      <c r="Q69" s="5" t="s">
        <v>31</v>
      </c>
      <c r="R69" s="5" t="s">
        <v>32</v>
      </c>
      <c r="S69" s="5" t="s">
        <v>28</v>
      </c>
      <c r="T69" s="5" t="s">
        <v>33</v>
      </c>
      <c r="U69" s="180"/>
    </row>
    <row r="70" spans="1:24" x14ac:dyDescent="0.25">
      <c r="A70" s="41" t="s">
        <v>135</v>
      </c>
      <c r="B70" s="176" t="s">
        <v>136</v>
      </c>
      <c r="C70" s="177"/>
      <c r="D70" s="177"/>
      <c r="E70" s="177"/>
      <c r="F70" s="177"/>
      <c r="G70" s="177"/>
      <c r="H70" s="177"/>
      <c r="I70" s="178"/>
      <c r="J70" s="11">
        <v>9</v>
      </c>
      <c r="K70" s="11">
        <v>2</v>
      </c>
      <c r="L70" s="11">
        <v>1</v>
      </c>
      <c r="M70" s="11">
        <v>0</v>
      </c>
      <c r="N70" s="11">
        <v>1</v>
      </c>
      <c r="O70" s="16">
        <f>K70+L70+N70+M70</f>
        <v>4</v>
      </c>
      <c r="P70" s="17">
        <f>Q70-O70</f>
        <v>15</v>
      </c>
      <c r="Q70" s="17">
        <f>ROUND(PRODUCT(J70,25)/12,0)</f>
        <v>19</v>
      </c>
      <c r="R70" s="21" t="s">
        <v>32</v>
      </c>
      <c r="S70" s="11"/>
      <c r="T70" s="22"/>
      <c r="U70" s="11" t="s">
        <v>38</v>
      </c>
    </row>
    <row r="71" spans="1:24" x14ac:dyDescent="0.25">
      <c r="A71" s="41" t="s">
        <v>137</v>
      </c>
      <c r="B71" s="176" t="s">
        <v>138</v>
      </c>
      <c r="C71" s="177"/>
      <c r="D71" s="177"/>
      <c r="E71" s="177"/>
      <c r="F71" s="177"/>
      <c r="G71" s="177"/>
      <c r="H71" s="177"/>
      <c r="I71" s="178"/>
      <c r="J71" s="11">
        <v>9</v>
      </c>
      <c r="K71" s="11">
        <v>2</v>
      </c>
      <c r="L71" s="11">
        <v>1</v>
      </c>
      <c r="M71" s="11">
        <v>0</v>
      </c>
      <c r="N71" s="11">
        <v>1</v>
      </c>
      <c r="O71" s="16">
        <f t="shared" ref="O71:O73" si="13">K71+L71+N71+M71</f>
        <v>4</v>
      </c>
      <c r="P71" s="17">
        <f t="shared" ref="P71:P73" si="14">Q71-O71</f>
        <v>15</v>
      </c>
      <c r="Q71" s="17">
        <f t="shared" ref="Q71:Q73" si="15">ROUND(PRODUCT(J71,25)/12,0)</f>
        <v>19</v>
      </c>
      <c r="R71" s="21" t="s">
        <v>32</v>
      </c>
      <c r="S71" s="11"/>
      <c r="T71" s="22"/>
      <c r="U71" s="11" t="s">
        <v>38</v>
      </c>
    </row>
    <row r="72" spans="1:24" x14ac:dyDescent="0.25">
      <c r="A72" s="41" t="s">
        <v>158</v>
      </c>
      <c r="B72" s="176" t="s">
        <v>139</v>
      </c>
      <c r="C72" s="177"/>
      <c r="D72" s="177"/>
      <c r="E72" s="177"/>
      <c r="F72" s="177"/>
      <c r="G72" s="177"/>
      <c r="H72" s="177"/>
      <c r="I72" s="178"/>
      <c r="J72" s="11">
        <v>8</v>
      </c>
      <c r="K72" s="11">
        <v>0</v>
      </c>
      <c r="L72" s="11">
        <v>0</v>
      </c>
      <c r="M72" s="11">
        <v>0</v>
      </c>
      <c r="N72" s="11">
        <v>5</v>
      </c>
      <c r="O72" s="16">
        <f t="shared" si="13"/>
        <v>5</v>
      </c>
      <c r="P72" s="17">
        <f t="shared" si="14"/>
        <v>12</v>
      </c>
      <c r="Q72" s="17">
        <f t="shared" si="15"/>
        <v>17</v>
      </c>
      <c r="R72" s="21"/>
      <c r="S72" s="11" t="s">
        <v>28</v>
      </c>
      <c r="T72" s="22"/>
      <c r="U72" s="11" t="s">
        <v>38</v>
      </c>
    </row>
    <row r="73" spans="1:24" x14ac:dyDescent="0.25">
      <c r="A73" s="41" t="s">
        <v>140</v>
      </c>
      <c r="B73" s="176" t="s">
        <v>159</v>
      </c>
      <c r="C73" s="177"/>
      <c r="D73" s="177"/>
      <c r="E73" s="177"/>
      <c r="F73" s="177"/>
      <c r="G73" s="177"/>
      <c r="H73" s="177"/>
      <c r="I73" s="178"/>
      <c r="J73" s="11">
        <v>4</v>
      </c>
      <c r="K73" s="11">
        <v>0</v>
      </c>
      <c r="L73" s="11">
        <v>0</v>
      </c>
      <c r="M73" s="11">
        <v>1</v>
      </c>
      <c r="N73" s="11">
        <v>4</v>
      </c>
      <c r="O73" s="16">
        <f t="shared" si="13"/>
        <v>5</v>
      </c>
      <c r="P73" s="17">
        <f t="shared" si="14"/>
        <v>3</v>
      </c>
      <c r="Q73" s="17">
        <f t="shared" si="15"/>
        <v>8</v>
      </c>
      <c r="R73" s="21"/>
      <c r="S73" s="11" t="s">
        <v>28</v>
      </c>
      <c r="T73" s="22"/>
      <c r="U73" s="11" t="s">
        <v>39</v>
      </c>
    </row>
    <row r="74" spans="1:24" x14ac:dyDescent="0.25">
      <c r="A74" s="18" t="s">
        <v>25</v>
      </c>
      <c r="B74" s="95"/>
      <c r="C74" s="96"/>
      <c r="D74" s="96"/>
      <c r="E74" s="96"/>
      <c r="F74" s="96"/>
      <c r="G74" s="96"/>
      <c r="H74" s="96"/>
      <c r="I74" s="97"/>
      <c r="J74" s="18">
        <f t="shared" ref="J74:Q74" si="16">SUM(J70:J73)</f>
        <v>30</v>
      </c>
      <c r="K74" s="18">
        <f t="shared" si="16"/>
        <v>4</v>
      </c>
      <c r="L74" s="18">
        <f t="shared" si="16"/>
        <v>2</v>
      </c>
      <c r="M74" s="18">
        <f t="shared" si="16"/>
        <v>1</v>
      </c>
      <c r="N74" s="18">
        <f t="shared" si="16"/>
        <v>11</v>
      </c>
      <c r="O74" s="18">
        <f t="shared" si="16"/>
        <v>18</v>
      </c>
      <c r="P74" s="18">
        <f t="shared" si="16"/>
        <v>45</v>
      </c>
      <c r="Q74" s="18">
        <f t="shared" si="16"/>
        <v>63</v>
      </c>
      <c r="R74" s="18">
        <f>COUNTIF(R70:R73,"E")</f>
        <v>2</v>
      </c>
      <c r="S74" s="18">
        <f>COUNTIF(S70:S73,"C")</f>
        <v>2</v>
      </c>
      <c r="T74" s="18">
        <f>COUNTIF(T70:T73,"VP")</f>
        <v>0</v>
      </c>
      <c r="U74" s="42">
        <f>COUNTA(U70:U73)</f>
        <v>4</v>
      </c>
      <c r="V74" s="209" t="str">
        <f>IF(R74&gt;=SUM(S74:T74),"Corect","E trebuie să fie cel puțin egal cu C+VP")</f>
        <v>Corect</v>
      </c>
      <c r="W74" s="210"/>
      <c r="X74" s="210"/>
    </row>
    <row r="75" spans="1:24" ht="4.8" customHeight="1" x14ac:dyDescent="0.25"/>
    <row r="76" spans="1:24" ht="19.5" customHeight="1" x14ac:dyDescent="0.25">
      <c r="A76" s="198" t="s">
        <v>46</v>
      </c>
      <c r="B76" s="198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</row>
    <row r="77" spans="1:24" ht="27.75" customHeight="1" x14ac:dyDescent="0.25">
      <c r="A77" s="186" t="s">
        <v>27</v>
      </c>
      <c r="B77" s="157" t="s">
        <v>26</v>
      </c>
      <c r="C77" s="158"/>
      <c r="D77" s="158"/>
      <c r="E77" s="158"/>
      <c r="F77" s="158"/>
      <c r="G77" s="158"/>
      <c r="H77" s="158"/>
      <c r="I77" s="159"/>
      <c r="J77" s="179" t="s">
        <v>40</v>
      </c>
      <c r="K77" s="155" t="s">
        <v>24</v>
      </c>
      <c r="L77" s="155"/>
      <c r="M77" s="155"/>
      <c r="N77" s="155"/>
      <c r="O77" s="155" t="s">
        <v>41</v>
      </c>
      <c r="P77" s="208"/>
      <c r="Q77" s="208"/>
      <c r="R77" s="155" t="s">
        <v>23</v>
      </c>
      <c r="S77" s="155"/>
      <c r="T77" s="155"/>
      <c r="U77" s="155" t="s">
        <v>22</v>
      </c>
    </row>
    <row r="78" spans="1:24" ht="12.75" customHeight="1" x14ac:dyDescent="0.25">
      <c r="A78" s="187"/>
      <c r="B78" s="160"/>
      <c r="C78" s="161"/>
      <c r="D78" s="161"/>
      <c r="E78" s="161"/>
      <c r="F78" s="161"/>
      <c r="G78" s="161"/>
      <c r="H78" s="161"/>
      <c r="I78" s="162"/>
      <c r="J78" s="180"/>
      <c r="K78" s="5" t="s">
        <v>28</v>
      </c>
      <c r="L78" s="5" t="s">
        <v>29</v>
      </c>
      <c r="M78" s="5" t="s">
        <v>109</v>
      </c>
      <c r="N78" s="5" t="s">
        <v>110</v>
      </c>
      <c r="O78" s="5" t="s">
        <v>34</v>
      </c>
      <c r="P78" s="5" t="s">
        <v>7</v>
      </c>
      <c r="Q78" s="5" t="s">
        <v>31</v>
      </c>
      <c r="R78" s="5" t="s">
        <v>32</v>
      </c>
      <c r="S78" s="5" t="s">
        <v>28</v>
      </c>
      <c r="T78" s="5" t="s">
        <v>33</v>
      </c>
      <c r="U78" s="155"/>
    </row>
    <row r="79" spans="1:24" x14ac:dyDescent="0.25">
      <c r="A79" s="69" t="s">
        <v>144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1"/>
    </row>
    <row r="80" spans="1:24" x14ac:dyDescent="0.25">
      <c r="A80" s="44" t="s">
        <v>146</v>
      </c>
      <c r="B80" s="164" t="s">
        <v>147</v>
      </c>
      <c r="C80" s="165"/>
      <c r="D80" s="165"/>
      <c r="E80" s="165"/>
      <c r="F80" s="165"/>
      <c r="G80" s="165"/>
      <c r="H80" s="165"/>
      <c r="I80" s="166"/>
      <c r="J80" s="23">
        <v>9</v>
      </c>
      <c r="K80" s="23">
        <v>2</v>
      </c>
      <c r="L80" s="23">
        <v>1</v>
      </c>
      <c r="M80" s="23">
        <v>0</v>
      </c>
      <c r="N80" s="23">
        <v>1</v>
      </c>
      <c r="O80" s="17">
        <f>K80+L80+N80+M80</f>
        <v>4</v>
      </c>
      <c r="P80" s="17">
        <f t="shared" ref="P80:P84" si="17">Q80-O80</f>
        <v>15</v>
      </c>
      <c r="Q80" s="17">
        <f t="shared" ref="Q80:Q84" si="18">ROUND(PRODUCT(J80,25)/12,0)</f>
        <v>19</v>
      </c>
      <c r="R80" s="23" t="s">
        <v>32</v>
      </c>
      <c r="S80" s="23"/>
      <c r="T80" s="24"/>
      <c r="U80" s="11" t="s">
        <v>38</v>
      </c>
    </row>
    <row r="81" spans="1:21" x14ac:dyDescent="0.25">
      <c r="A81" s="44" t="s">
        <v>148</v>
      </c>
      <c r="B81" s="164" t="s">
        <v>149</v>
      </c>
      <c r="C81" s="165"/>
      <c r="D81" s="165"/>
      <c r="E81" s="165"/>
      <c r="F81" s="165"/>
      <c r="G81" s="165"/>
      <c r="H81" s="165"/>
      <c r="I81" s="166"/>
      <c r="J81" s="23">
        <v>9</v>
      </c>
      <c r="K81" s="23">
        <v>2</v>
      </c>
      <c r="L81" s="23">
        <v>1</v>
      </c>
      <c r="M81" s="23">
        <v>0</v>
      </c>
      <c r="N81" s="23">
        <v>1</v>
      </c>
      <c r="O81" s="17">
        <f t="shared" ref="O81:O84" si="19">K81+L81+N81+M81</f>
        <v>4</v>
      </c>
      <c r="P81" s="17">
        <f t="shared" si="17"/>
        <v>15</v>
      </c>
      <c r="Q81" s="17">
        <f t="shared" si="18"/>
        <v>19</v>
      </c>
      <c r="R81" s="23" t="s">
        <v>32</v>
      </c>
      <c r="S81" s="23"/>
      <c r="T81" s="24"/>
      <c r="U81" s="11" t="s">
        <v>38</v>
      </c>
    </row>
    <row r="82" spans="1:21" x14ac:dyDescent="0.25">
      <c r="A82" s="69" t="s">
        <v>145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1"/>
    </row>
    <row r="83" spans="1:21" x14ac:dyDescent="0.25">
      <c r="A83" s="44" t="s">
        <v>150</v>
      </c>
      <c r="B83" s="163" t="s">
        <v>151</v>
      </c>
      <c r="C83" s="163"/>
      <c r="D83" s="163"/>
      <c r="E83" s="163"/>
      <c r="F83" s="163"/>
      <c r="G83" s="163"/>
      <c r="H83" s="163"/>
      <c r="I83" s="163"/>
      <c r="J83" s="23">
        <v>9</v>
      </c>
      <c r="K83" s="23">
        <v>2</v>
      </c>
      <c r="L83" s="23">
        <v>1</v>
      </c>
      <c r="M83" s="23">
        <v>0</v>
      </c>
      <c r="N83" s="23">
        <v>1</v>
      </c>
      <c r="O83" s="17">
        <f t="shared" si="19"/>
        <v>4</v>
      </c>
      <c r="P83" s="17">
        <f t="shared" si="17"/>
        <v>15</v>
      </c>
      <c r="Q83" s="17">
        <f t="shared" si="18"/>
        <v>19</v>
      </c>
      <c r="R83" s="23" t="s">
        <v>32</v>
      </c>
      <c r="S83" s="23"/>
      <c r="T83" s="24"/>
      <c r="U83" s="11" t="s">
        <v>38</v>
      </c>
    </row>
    <row r="84" spans="1:21" x14ac:dyDescent="0.25">
      <c r="A84" s="44" t="s">
        <v>152</v>
      </c>
      <c r="B84" s="163" t="s">
        <v>153</v>
      </c>
      <c r="C84" s="163"/>
      <c r="D84" s="163"/>
      <c r="E84" s="163"/>
      <c r="F84" s="163"/>
      <c r="G84" s="163"/>
      <c r="H84" s="163"/>
      <c r="I84" s="163"/>
      <c r="J84" s="23">
        <v>9</v>
      </c>
      <c r="K84" s="23">
        <v>2</v>
      </c>
      <c r="L84" s="23">
        <v>1</v>
      </c>
      <c r="M84" s="23">
        <v>0</v>
      </c>
      <c r="N84" s="23">
        <v>1</v>
      </c>
      <c r="O84" s="17">
        <f t="shared" si="19"/>
        <v>4</v>
      </c>
      <c r="P84" s="17">
        <f t="shared" si="17"/>
        <v>15</v>
      </c>
      <c r="Q84" s="17">
        <f t="shared" si="18"/>
        <v>19</v>
      </c>
      <c r="R84" s="23" t="s">
        <v>32</v>
      </c>
      <c r="S84" s="23"/>
      <c r="T84" s="24"/>
      <c r="U84" s="11" t="s">
        <v>38</v>
      </c>
    </row>
    <row r="85" spans="1:21" ht="24.75" customHeight="1" x14ac:dyDescent="0.25">
      <c r="A85" s="145" t="s">
        <v>73</v>
      </c>
      <c r="B85" s="146"/>
      <c r="C85" s="146"/>
      <c r="D85" s="146"/>
      <c r="E85" s="146"/>
      <c r="F85" s="146"/>
      <c r="G85" s="146"/>
      <c r="H85" s="146"/>
      <c r="I85" s="147"/>
      <c r="J85" s="20">
        <f t="shared" ref="J85:Q85" si="20">SUM(J80,J83)</f>
        <v>18</v>
      </c>
      <c r="K85" s="20">
        <f t="shared" si="20"/>
        <v>4</v>
      </c>
      <c r="L85" s="20">
        <f t="shared" si="20"/>
        <v>2</v>
      </c>
      <c r="M85" s="20">
        <f t="shared" si="20"/>
        <v>0</v>
      </c>
      <c r="N85" s="20">
        <f t="shared" si="20"/>
        <v>2</v>
      </c>
      <c r="O85" s="20">
        <f t="shared" si="20"/>
        <v>8</v>
      </c>
      <c r="P85" s="20">
        <f t="shared" si="20"/>
        <v>30</v>
      </c>
      <c r="Q85" s="20">
        <f t="shared" si="20"/>
        <v>38</v>
      </c>
      <c r="R85" s="20">
        <f>COUNTIF(R83,"E")+COUNTIF(R80,"E")</f>
        <v>2</v>
      </c>
      <c r="S85" s="20">
        <f>COUNTIF(S83,"C")+COUNTIF(S80,"C")</f>
        <v>0</v>
      </c>
      <c r="T85" s="20">
        <f>COUNTIF(T83,"VP")+COUNTIF(T80,"VP")</f>
        <v>0</v>
      </c>
      <c r="U85" s="45">
        <f>2/(U44+U56+U65+U74)</f>
        <v>0.125</v>
      </c>
    </row>
    <row r="86" spans="1:21" ht="13.5" customHeight="1" x14ac:dyDescent="0.25">
      <c r="A86" s="127" t="s">
        <v>48</v>
      </c>
      <c r="B86" s="128"/>
      <c r="C86" s="128"/>
      <c r="D86" s="128"/>
      <c r="E86" s="128"/>
      <c r="F86" s="128"/>
      <c r="G86" s="128"/>
      <c r="H86" s="128"/>
      <c r="I86" s="128"/>
      <c r="J86" s="129"/>
      <c r="K86" s="20">
        <f>(K80+K83)*12</f>
        <v>48</v>
      </c>
      <c r="L86" s="20">
        <f t="shared" ref="L86:Q86" si="21">(L80+L83)*12</f>
        <v>24</v>
      </c>
      <c r="M86" s="20">
        <f t="shared" si="21"/>
        <v>0</v>
      </c>
      <c r="N86" s="20">
        <f t="shared" si="21"/>
        <v>24</v>
      </c>
      <c r="O86" s="20">
        <f t="shared" si="21"/>
        <v>96</v>
      </c>
      <c r="P86" s="20">
        <f t="shared" si="21"/>
        <v>360</v>
      </c>
      <c r="Q86" s="20">
        <f t="shared" si="21"/>
        <v>456</v>
      </c>
      <c r="R86" s="137"/>
      <c r="S86" s="138"/>
      <c r="T86" s="138"/>
      <c r="U86" s="139"/>
    </row>
    <row r="87" spans="1:21" x14ac:dyDescent="0.25">
      <c r="A87" s="130"/>
      <c r="B87" s="131"/>
      <c r="C87" s="131"/>
      <c r="D87" s="131"/>
      <c r="E87" s="131"/>
      <c r="F87" s="131"/>
      <c r="G87" s="131"/>
      <c r="H87" s="131"/>
      <c r="I87" s="131"/>
      <c r="J87" s="132"/>
      <c r="K87" s="148">
        <f>SUM(K86:N86)</f>
        <v>96</v>
      </c>
      <c r="L87" s="149"/>
      <c r="M87" s="149"/>
      <c r="N87" s="150"/>
      <c r="O87" s="151">
        <f>SUM(O86:P86)</f>
        <v>456</v>
      </c>
      <c r="P87" s="152"/>
      <c r="Q87" s="153"/>
      <c r="R87" s="140"/>
      <c r="S87" s="141"/>
      <c r="T87" s="141"/>
      <c r="U87" s="142"/>
    </row>
    <row r="88" spans="1:2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3"/>
      <c r="L88" s="13"/>
      <c r="M88" s="13"/>
      <c r="N88" s="13"/>
      <c r="O88" s="14"/>
      <c r="P88" s="14"/>
      <c r="Q88" s="14"/>
      <c r="R88" s="15"/>
      <c r="S88" s="15"/>
      <c r="T88" s="15"/>
      <c r="U88" s="15"/>
    </row>
    <row r="89" spans="1:21" ht="24" customHeight="1" x14ac:dyDescent="0.25">
      <c r="A89" s="161" t="s">
        <v>49</v>
      </c>
      <c r="B89" s="161"/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</row>
    <row r="90" spans="1:21" ht="16.5" customHeight="1" x14ac:dyDescent="0.25">
      <c r="A90" s="95" t="s">
        <v>50</v>
      </c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7"/>
    </row>
    <row r="91" spans="1:21" ht="34.5" customHeight="1" x14ac:dyDescent="0.25">
      <c r="A91" s="144" t="s">
        <v>27</v>
      </c>
      <c r="B91" s="144" t="s">
        <v>26</v>
      </c>
      <c r="C91" s="144"/>
      <c r="D91" s="144"/>
      <c r="E91" s="144"/>
      <c r="F91" s="144"/>
      <c r="G91" s="144"/>
      <c r="H91" s="144"/>
      <c r="I91" s="144"/>
      <c r="J91" s="94" t="s">
        <v>40</v>
      </c>
      <c r="K91" s="94" t="s">
        <v>24</v>
      </c>
      <c r="L91" s="94"/>
      <c r="M91" s="94"/>
      <c r="N91" s="94"/>
      <c r="O91" s="94" t="s">
        <v>41</v>
      </c>
      <c r="P91" s="94"/>
      <c r="Q91" s="94"/>
      <c r="R91" s="94" t="s">
        <v>23</v>
      </c>
      <c r="S91" s="94"/>
      <c r="T91" s="94"/>
      <c r="U91" s="94" t="s">
        <v>22</v>
      </c>
    </row>
    <row r="92" spans="1:21" x14ac:dyDescent="0.25">
      <c r="A92" s="144"/>
      <c r="B92" s="144"/>
      <c r="C92" s="144"/>
      <c r="D92" s="144"/>
      <c r="E92" s="144"/>
      <c r="F92" s="144"/>
      <c r="G92" s="144"/>
      <c r="H92" s="144"/>
      <c r="I92" s="144"/>
      <c r="J92" s="94"/>
      <c r="K92" s="26" t="s">
        <v>28</v>
      </c>
      <c r="L92" s="26" t="s">
        <v>29</v>
      </c>
      <c r="M92" s="26" t="s">
        <v>109</v>
      </c>
      <c r="N92" s="26" t="s">
        <v>110</v>
      </c>
      <c r="O92" s="26" t="s">
        <v>34</v>
      </c>
      <c r="P92" s="26" t="s">
        <v>7</v>
      </c>
      <c r="Q92" s="26" t="s">
        <v>31</v>
      </c>
      <c r="R92" s="26" t="s">
        <v>32</v>
      </c>
      <c r="S92" s="26" t="s">
        <v>28</v>
      </c>
      <c r="T92" s="26" t="s">
        <v>33</v>
      </c>
      <c r="U92" s="94"/>
    </row>
    <row r="93" spans="1:21" ht="17.25" customHeight="1" x14ac:dyDescent="0.25">
      <c r="A93" s="95" t="s">
        <v>62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7"/>
    </row>
    <row r="94" spans="1:21" x14ac:dyDescent="0.25">
      <c r="A94" s="27" t="str">
        <f>IF(ISNA(INDEX($A$37:$U$88,MATCH($B94,$B$37:$B$88,0),1)),"",INDEX($A$37:$U$88,MATCH($B94,$B$37:$B$88,0),1))</f>
        <v>MMR3057</v>
      </c>
      <c r="B94" s="133" t="s">
        <v>118</v>
      </c>
      <c r="C94" s="133"/>
      <c r="D94" s="133"/>
      <c r="E94" s="133"/>
      <c r="F94" s="133"/>
      <c r="G94" s="133"/>
      <c r="H94" s="133"/>
      <c r="I94" s="133"/>
      <c r="J94" s="17">
        <f>IF(ISNA(INDEX($A$37:$U$88,MATCH($B94,$B$37:$B$88,0),10)),"",INDEX($A$37:$U$88,MATCH($B94,$B$37:$B$88,0),10))</f>
        <v>7</v>
      </c>
      <c r="K94" s="17">
        <f>IF(ISNA(INDEX($A$37:$U$88,MATCH($B94,$B$37:$B$88,0),11)),"",INDEX($A$37:$U$88,MATCH($B94,$B$37:$B$88,0),11))</f>
        <v>2</v>
      </c>
      <c r="L94" s="17">
        <f>IF(ISNA(INDEX($A$37:$U$88,MATCH($B94,$B$37:$B$88,0),12)),"",INDEX($A$37:$U$88,MATCH($B94,$B$37:$B$88,0),12))</f>
        <v>0</v>
      </c>
      <c r="M94" s="17">
        <f>IF(ISNA(INDEX($A$37:$U$88,MATCH($B94,$B$37:$B$88,0),13)),"",INDEX($A$37:$U$88,MATCH($B94,$B$37:$B$88,0),13))</f>
        <v>2</v>
      </c>
      <c r="N94" s="17">
        <f>IF(ISNA(INDEX($A$37:$U$88,MATCH($B94,$B$37:$B$88,0),14)),"",INDEX($A$37:$U$88,MATCH($B94,$B$37:$B$88,0),14))</f>
        <v>1</v>
      </c>
      <c r="O94" s="17">
        <f>IF(ISNA(INDEX($A$37:$U$88,MATCH($B94,$B$37:$B$88,0),15)),"",INDEX($A$37:$U$88,MATCH($B94,$B$37:$B$88,0),15))</f>
        <v>5</v>
      </c>
      <c r="P94" s="17">
        <f>IF(ISNA(INDEX($A$37:$U$88,MATCH($B94,$B$37:$B$88,0),16)),"",INDEX($A$37:$U$88,MATCH($B94,$B$37:$B$88,0),16))</f>
        <v>8</v>
      </c>
      <c r="Q94" s="17">
        <f>IF(ISNA(INDEX($A$37:$U$88,MATCH($B94,$B$37:$B$88,0),17)),"",INDEX($A$37:$U$88,MATCH($B94,$B$37:$B$88,0),17))</f>
        <v>13</v>
      </c>
      <c r="R94" s="25">
        <f>IF(ISNA(INDEX($A$37:$U$88,MATCH($B94,$B$37:$B$88,0),18)),"",INDEX($A$37:$U$88,MATCH($B94,$B$37:$B$88,0),18))</f>
        <v>0</v>
      </c>
      <c r="S94" s="25" t="str">
        <f>IF(ISNA(INDEX($A$37:$U$88,MATCH($B94,$B$37:$B$88,0),19)),"",INDEX($A$37:$U$88,MATCH($B94,$B$37:$B$88,0),19))</f>
        <v>C</v>
      </c>
      <c r="T94" s="25">
        <f>IF(ISNA(INDEX($A$37:$U$88,MATCH($B94,$B$37:$B$88,0),20)),"",INDEX($A$37:$U$88,MATCH($B94,$B$37:$B$88,0),20))</f>
        <v>0</v>
      </c>
      <c r="U94" s="16" t="s">
        <v>37</v>
      </c>
    </row>
    <row r="95" spans="1:21" x14ac:dyDescent="0.25">
      <c r="A95" s="27" t="str">
        <f>IF(ISNA(INDEX($A$37:$U$88,MATCH($B95,$B$37:$B$88,0),1)),"",INDEX($A$37:$U$88,MATCH($B95,$B$37:$B$88,0),1))</f>
        <v>MMR3047</v>
      </c>
      <c r="B95" s="133" t="s">
        <v>120</v>
      </c>
      <c r="C95" s="133"/>
      <c r="D95" s="133"/>
      <c r="E95" s="133"/>
      <c r="F95" s="133"/>
      <c r="G95" s="133"/>
      <c r="H95" s="133"/>
      <c r="I95" s="133"/>
      <c r="J95" s="17">
        <f>IF(ISNA(INDEX($A$37:$U$88,MATCH($B95,$B$37:$B$88,0),10)),"",INDEX($A$37:$U$88,MATCH($B95,$B$37:$B$88,0),10))</f>
        <v>8</v>
      </c>
      <c r="K95" s="17">
        <f>IF(ISNA(INDEX($A$37:$U$88,MATCH($B95,$B$37:$B$88,0),11)),"",INDEX($A$37:$U$88,MATCH($B95,$B$37:$B$88,0),11))</f>
        <v>2</v>
      </c>
      <c r="L95" s="17">
        <f>IF(ISNA(INDEX($A$37:$U$88,MATCH($B95,$B$37:$B$88,0),12)),"",INDEX($A$37:$U$88,MATCH($B95,$B$37:$B$88,0),12))</f>
        <v>1</v>
      </c>
      <c r="M95" s="17">
        <f>IF(ISNA(INDEX($A$37:$U$88,MATCH($B95,$B$37:$B$88,0),13)),"",INDEX($A$37:$U$88,MATCH($B95,$B$37:$B$88,0),13))</f>
        <v>0</v>
      </c>
      <c r="N95" s="17">
        <f>IF(ISNA(INDEX($A$37:$U$88,MATCH($B95,$B$37:$B$88,0),14)),"",INDEX($A$37:$U$88,MATCH($B95,$B$37:$B$88,0),14))</f>
        <v>1</v>
      </c>
      <c r="O95" s="17">
        <f>IF(ISNA(INDEX($A$37:$U$88,MATCH($B95,$B$37:$B$88,0),15)),"",INDEX($A$37:$U$88,MATCH($B95,$B$37:$B$88,0),15))</f>
        <v>4</v>
      </c>
      <c r="P95" s="17">
        <f>IF(ISNA(INDEX($A$37:$U$88,MATCH($B95,$B$37:$B$88,0),16)),"",INDEX($A$37:$U$88,MATCH($B95,$B$37:$B$88,0),16))</f>
        <v>10</v>
      </c>
      <c r="Q95" s="17">
        <f>IF(ISNA(INDEX($A$37:$U$88,MATCH($B95,$B$37:$B$88,0),17)),"",INDEX($A$37:$U$88,MATCH($B95,$B$37:$B$88,0),17))</f>
        <v>14</v>
      </c>
      <c r="R95" s="25" t="str">
        <f>IF(ISNA(INDEX($A$37:$U$88,MATCH($B95,$B$37:$B$88,0),18)),"",INDEX($A$37:$U$88,MATCH($B95,$B$37:$B$88,0),18))</f>
        <v>E</v>
      </c>
      <c r="S95" s="25">
        <f>IF(ISNA(INDEX($A$37:$U$88,MATCH($B95,$B$37:$B$88,0),19)),"",INDEX($A$37:$U$88,MATCH($B95,$B$37:$B$88,0),19))</f>
        <v>0</v>
      </c>
      <c r="T95" s="25">
        <f>IF(ISNA(INDEX($A$37:$U$88,MATCH($B95,$B$37:$B$88,0),20)),"",INDEX($A$37:$U$88,MATCH($B95,$B$37:$B$88,0),20))</f>
        <v>0</v>
      </c>
      <c r="U95" s="16" t="s">
        <v>37</v>
      </c>
    </row>
    <row r="96" spans="1:21" x14ac:dyDescent="0.25">
      <c r="A96" s="27" t="str">
        <f>IF(ISNA(INDEX($A$37:$U$88,MATCH($B96,$B$37:$B$88,0),1)),"",INDEX($A$37:$U$88,MATCH($B96,$B$37:$B$88,0),1))</f>
        <v>MMR3009</v>
      </c>
      <c r="B96" s="133" t="s">
        <v>122</v>
      </c>
      <c r="C96" s="133"/>
      <c r="D96" s="133"/>
      <c r="E96" s="133"/>
      <c r="F96" s="133"/>
      <c r="G96" s="133"/>
      <c r="H96" s="133"/>
      <c r="I96" s="133"/>
      <c r="J96" s="17">
        <f>IF(ISNA(INDEX($A$37:$U$88,MATCH($B96,$B$37:$B$88,0),10)),"",INDEX($A$37:$U$88,MATCH($B96,$B$37:$B$88,0),10))</f>
        <v>8</v>
      </c>
      <c r="K96" s="17">
        <f>IF(ISNA(INDEX($A$37:$U$88,MATCH($B96,$B$37:$B$88,0),11)),"",INDEX($A$37:$U$88,MATCH($B96,$B$37:$B$88,0),11))</f>
        <v>2</v>
      </c>
      <c r="L96" s="17">
        <f>IF(ISNA(INDEX($A$37:$U$88,MATCH($B96,$B$37:$B$88,0),12)),"",INDEX($A$37:$U$88,MATCH($B96,$B$37:$B$88,0),12))</f>
        <v>1</v>
      </c>
      <c r="M96" s="17">
        <f>IF(ISNA(INDEX($A$37:$U$88,MATCH($B96,$B$37:$B$88,0),13)),"",INDEX($A$37:$U$88,MATCH($B96,$B$37:$B$88,0),13))</f>
        <v>0</v>
      </c>
      <c r="N96" s="17">
        <f>IF(ISNA(INDEX($A$37:$U$88,MATCH($B96,$B$37:$B$88,0),14)),"",INDEX($A$37:$U$88,MATCH($B96,$B$37:$B$88,0),14))</f>
        <v>1</v>
      </c>
      <c r="O96" s="17">
        <f>IF(ISNA(INDEX($A$37:$U$88,MATCH($B96,$B$37:$B$88,0),15)),"",INDEX($A$37:$U$88,MATCH($B96,$B$37:$B$88,0),15))</f>
        <v>4</v>
      </c>
      <c r="P96" s="17">
        <f>IF(ISNA(INDEX($A$37:$U$88,MATCH($B96,$B$37:$B$88,0),16)),"",INDEX($A$37:$U$88,MATCH($B96,$B$37:$B$88,0),16))</f>
        <v>10</v>
      </c>
      <c r="Q96" s="17">
        <f>IF(ISNA(INDEX($A$37:$U$88,MATCH($B96,$B$37:$B$88,0),17)),"",INDEX($A$37:$U$88,MATCH($B96,$B$37:$B$88,0),17))</f>
        <v>14</v>
      </c>
      <c r="R96" s="25" t="str">
        <f>IF(ISNA(INDEX($A$37:$U$88,MATCH($B96,$B$37:$B$88,0),18)),"",INDEX($A$37:$U$88,MATCH($B96,$B$37:$B$88,0),18))</f>
        <v>E</v>
      </c>
      <c r="S96" s="25">
        <f>IF(ISNA(INDEX($A$37:$U$88,MATCH($B96,$B$37:$B$88,0),19)),"",INDEX($A$37:$U$88,MATCH($B96,$B$37:$B$88,0),19))</f>
        <v>0</v>
      </c>
      <c r="T96" s="25">
        <f>IF(ISNA(INDEX($A$37:$U$88,MATCH($B96,$B$37:$B$88,0),20)),"",INDEX($A$37:$U$88,MATCH($B96,$B$37:$B$88,0),20))</f>
        <v>0</v>
      </c>
      <c r="U96" s="16" t="s">
        <v>37</v>
      </c>
    </row>
    <row r="97" spans="1:21" ht="31.5" customHeight="1" x14ac:dyDescent="0.25">
      <c r="A97" s="27" t="str">
        <f>IF(ISNA(INDEX($A$37:$U$88,MATCH($B97,$B$37:$B$88,0),1)),"",INDEX($A$37:$U$88,MATCH($B97,$B$37:$B$88,0),1))</f>
        <v>MMR3022</v>
      </c>
      <c r="B97" s="215" t="s">
        <v>124</v>
      </c>
      <c r="C97" s="215"/>
      <c r="D97" s="215"/>
      <c r="E97" s="215"/>
      <c r="F97" s="215"/>
      <c r="G97" s="215"/>
      <c r="H97" s="215"/>
      <c r="I97" s="215"/>
      <c r="J97" s="17">
        <f>IF(ISNA(INDEX($A$37:$U$88,MATCH($B97,$B$37:$B$88,0),10)),"",INDEX($A$37:$U$88,MATCH($B97,$B$37:$B$88,0),10))</f>
        <v>9</v>
      </c>
      <c r="K97" s="17">
        <f>IF(ISNA(INDEX($A$37:$U$88,MATCH($B97,$B$37:$B$88,0),11)),"",INDEX($A$37:$U$88,MATCH($B97,$B$37:$B$88,0),11))</f>
        <v>2</v>
      </c>
      <c r="L97" s="17">
        <f>IF(ISNA(INDEX($A$37:$U$88,MATCH($B97,$B$37:$B$88,0),12)),"",INDEX($A$37:$U$88,MATCH($B97,$B$37:$B$88,0),12))</f>
        <v>1</v>
      </c>
      <c r="M97" s="17">
        <f>IF(ISNA(INDEX($A$37:$U$88,MATCH($B97,$B$37:$B$88,0),13)),"",INDEX($A$37:$U$88,MATCH($B97,$B$37:$B$88,0),13))</f>
        <v>1</v>
      </c>
      <c r="N97" s="17">
        <f>IF(ISNA(INDEX($A$37:$U$88,MATCH($B97,$B$37:$B$88,0),14)),"",INDEX($A$37:$U$88,MATCH($B97,$B$37:$B$88,0),14))</f>
        <v>1</v>
      </c>
      <c r="O97" s="17">
        <f>IF(ISNA(INDEX($A$37:$U$88,MATCH($B97,$B$37:$B$88,0),15)),"",INDEX($A$37:$U$88,MATCH($B97,$B$37:$B$88,0),15))</f>
        <v>5</v>
      </c>
      <c r="P97" s="17">
        <f>IF(ISNA(INDEX($A$37:$U$88,MATCH($B97,$B$37:$B$88,0),16)),"",INDEX($A$37:$U$88,MATCH($B97,$B$37:$B$88,0),16))</f>
        <v>11</v>
      </c>
      <c r="Q97" s="17">
        <f>IF(ISNA(INDEX($A$37:$U$88,MATCH($B97,$B$37:$B$88,0),17)),"",INDEX($A$37:$U$88,MATCH($B97,$B$37:$B$88,0),17))</f>
        <v>16</v>
      </c>
      <c r="R97" s="25">
        <f>IF(ISNA(INDEX($A$37:$U$88,MATCH($B97,$B$37:$B$88,0),18)),"",INDEX($A$37:$U$88,MATCH($B97,$B$37:$B$88,0),18))</f>
        <v>0</v>
      </c>
      <c r="S97" s="25">
        <f>IF(ISNA(INDEX($A$37:$U$88,MATCH($B97,$B$37:$B$88,0),19)),"",INDEX($A$37:$U$88,MATCH($B97,$B$37:$B$88,0),19))</f>
        <v>0</v>
      </c>
      <c r="T97" s="25" t="str">
        <f>IF(ISNA(INDEX($A$37:$U$88,MATCH($B97,$B$37:$B$88,0),20)),"",INDEX($A$37:$U$88,MATCH($B97,$B$37:$B$88,0),20))</f>
        <v>VP</v>
      </c>
      <c r="U97" s="16" t="s">
        <v>37</v>
      </c>
    </row>
    <row r="98" spans="1:21" ht="28.5" customHeight="1" x14ac:dyDescent="0.25">
      <c r="A98" s="27" t="str">
        <f>IF(ISNA(INDEX($A$37:$U$88,MATCH($B98,$B$37:$B$88,0),1)),"",INDEX($A$37:$U$88,MATCH($B98,$B$37:$B$88,0),1))</f>
        <v>MMR3096</v>
      </c>
      <c r="B98" s="215" t="s">
        <v>126</v>
      </c>
      <c r="C98" s="215"/>
      <c r="D98" s="215"/>
      <c r="E98" s="215"/>
      <c r="F98" s="215"/>
      <c r="G98" s="215"/>
      <c r="H98" s="215"/>
      <c r="I98" s="215"/>
      <c r="J98" s="17">
        <f>IF(ISNA(INDEX($A$37:$U$88,MATCH($B98,$B$37:$B$88,0),10)),"",INDEX($A$37:$U$88,MATCH($B98,$B$37:$B$88,0),10))</f>
        <v>7</v>
      </c>
      <c r="K98" s="17">
        <f>IF(ISNA(INDEX($A$37:$U$88,MATCH($B98,$B$37:$B$88,0),11)),"",INDEX($A$37:$U$88,MATCH($B98,$B$37:$B$88,0),11))</f>
        <v>1</v>
      </c>
      <c r="L98" s="17">
        <f>IF(ISNA(INDEX($A$37:$U$88,MATCH($B98,$B$37:$B$88,0),12)),"",INDEX($A$37:$U$88,MATCH($B98,$B$37:$B$88,0),12))</f>
        <v>0</v>
      </c>
      <c r="M98" s="17">
        <f>IF(ISNA(INDEX($A$37:$U$88,MATCH($B98,$B$37:$B$88,0),13)),"",INDEX($A$37:$U$88,MATCH($B98,$B$37:$B$88,0),13))</f>
        <v>2</v>
      </c>
      <c r="N98" s="17">
        <f>IF(ISNA(INDEX($A$37:$U$88,MATCH($B98,$B$37:$B$88,0),14)),"",INDEX($A$37:$U$88,MATCH($B98,$B$37:$B$88,0),14))</f>
        <v>1</v>
      </c>
      <c r="O98" s="17">
        <f>IF(ISNA(INDEX($A$37:$U$88,MATCH($B98,$B$37:$B$88,0),15)),"",INDEX($A$37:$U$88,MATCH($B98,$B$37:$B$88,0),15))</f>
        <v>4</v>
      </c>
      <c r="P98" s="17">
        <f>IF(ISNA(INDEX($A$37:$U$88,MATCH($B98,$B$37:$B$88,0),16)),"",INDEX($A$37:$U$88,MATCH($B98,$B$37:$B$88,0),16))</f>
        <v>9</v>
      </c>
      <c r="Q98" s="17">
        <f>IF(ISNA(INDEX($A$37:$U$88,MATCH($B98,$B$37:$B$88,0),17)),"",INDEX($A$37:$U$88,MATCH($B98,$B$37:$B$88,0),17))</f>
        <v>13</v>
      </c>
      <c r="R98" s="25">
        <f>IF(ISNA(INDEX($A$37:$U$88,MATCH($B98,$B$37:$B$88,0),18)),"",INDEX($A$37:$U$88,MATCH($B98,$B$37:$B$88,0),18))</f>
        <v>0</v>
      </c>
      <c r="S98" s="25" t="str">
        <f>IF(ISNA(INDEX($A$37:$U$88,MATCH($B98,$B$37:$B$88,0),19)),"",INDEX($A$37:$U$88,MATCH($B98,$B$37:$B$88,0),19))</f>
        <v>C</v>
      </c>
      <c r="T98" s="25">
        <f>IF(ISNA(INDEX($A$37:$U$88,MATCH($B98,$B$37:$B$88,0),20)),"",INDEX($A$37:$U$88,MATCH($B98,$B$37:$B$88,0),20))</f>
        <v>0</v>
      </c>
      <c r="U98" s="16" t="s">
        <v>37</v>
      </c>
    </row>
    <row r="99" spans="1:21" x14ac:dyDescent="0.25">
      <c r="A99" s="27" t="str">
        <f>IF(ISNA(INDEX($A$37:$U$88,MATCH($B99,$B$37:$B$88,0),1)),"",INDEX($A$37:$U$88,MATCH($B99,$B$37:$B$88,0),1))</f>
        <v>MMR3029</v>
      </c>
      <c r="B99" s="133" t="s">
        <v>128</v>
      </c>
      <c r="C99" s="133"/>
      <c r="D99" s="133"/>
      <c r="E99" s="133"/>
      <c r="F99" s="133"/>
      <c r="G99" s="133"/>
      <c r="H99" s="133"/>
      <c r="I99" s="133"/>
      <c r="J99" s="17">
        <f>IF(ISNA(INDEX($A$37:$U$88,MATCH($B99,$B$37:$B$88,0),10)),"",INDEX($A$37:$U$88,MATCH($B99,$B$37:$B$88,0),10))</f>
        <v>8</v>
      </c>
      <c r="K99" s="17">
        <f>IF(ISNA(INDEX($A$37:$U$88,MATCH($B99,$B$37:$B$88,0),11)),"",INDEX($A$37:$U$88,MATCH($B99,$B$37:$B$88,0),11))</f>
        <v>2</v>
      </c>
      <c r="L99" s="17">
        <f>IF(ISNA(INDEX($A$37:$U$88,MATCH($B99,$B$37:$B$88,0),12)),"",INDEX($A$37:$U$88,MATCH($B99,$B$37:$B$88,0),12))</f>
        <v>1</v>
      </c>
      <c r="M99" s="17">
        <f>IF(ISNA(INDEX($A$37:$U$88,MATCH($B99,$B$37:$B$88,0),13)),"",INDEX($A$37:$U$88,MATCH($B99,$B$37:$B$88,0),13))</f>
        <v>1</v>
      </c>
      <c r="N99" s="17">
        <f>IF(ISNA(INDEX($A$37:$U$88,MATCH($B99,$B$37:$B$88,0),14)),"",INDEX($A$37:$U$88,MATCH($B99,$B$37:$B$88,0),14))</f>
        <v>1</v>
      </c>
      <c r="O99" s="17">
        <f>IF(ISNA(INDEX($A$37:$U$88,MATCH($B99,$B$37:$B$88,0),15)),"",INDEX($A$37:$U$88,MATCH($B99,$B$37:$B$88,0),15))</f>
        <v>5</v>
      </c>
      <c r="P99" s="17">
        <f>IF(ISNA(INDEX($A$37:$U$88,MATCH($B99,$B$37:$B$88,0),16)),"",INDEX($A$37:$U$88,MATCH($B99,$B$37:$B$88,0),16))</f>
        <v>9</v>
      </c>
      <c r="Q99" s="17">
        <f>IF(ISNA(INDEX($A$37:$U$88,MATCH($B99,$B$37:$B$88,0),17)),"",INDEX($A$37:$U$88,MATCH($B99,$B$37:$B$88,0),17))</f>
        <v>14</v>
      </c>
      <c r="R99" s="25" t="str">
        <f>IF(ISNA(INDEX($A$37:$U$88,MATCH($B99,$B$37:$B$88,0),18)),"",INDEX($A$37:$U$88,MATCH($B99,$B$37:$B$88,0),18))</f>
        <v>E</v>
      </c>
      <c r="S99" s="25">
        <f>IF(ISNA(INDEX($A$37:$U$88,MATCH($B99,$B$37:$B$88,0),19)),"",INDEX($A$37:$U$88,MATCH($B99,$B$37:$B$88,0),19))</f>
        <v>0</v>
      </c>
      <c r="T99" s="25">
        <f>IF(ISNA(INDEX($A$37:$U$88,MATCH($B99,$B$37:$B$88,0),20)),"",INDEX($A$37:$U$88,MATCH($B99,$B$37:$B$88,0),20))</f>
        <v>0</v>
      </c>
      <c r="U99" s="16" t="s">
        <v>37</v>
      </c>
    </row>
    <row r="100" spans="1:21" x14ac:dyDescent="0.25">
      <c r="A100" s="27" t="str">
        <f>IF(ISNA(INDEX($A$37:$U$88,MATCH($B100,$B$37:$B$88,0),1)),"",INDEX($A$37:$U$88,MATCH($B100,$B$37:$B$88,0),1))</f>
        <v>MMR3035</v>
      </c>
      <c r="B100" s="133" t="s">
        <v>130</v>
      </c>
      <c r="C100" s="133"/>
      <c r="D100" s="133"/>
      <c r="E100" s="133"/>
      <c r="F100" s="133"/>
      <c r="G100" s="133"/>
      <c r="H100" s="133"/>
      <c r="I100" s="133"/>
      <c r="J100" s="17">
        <f>IF(ISNA(INDEX($A$37:$U$88,MATCH($B100,$B$37:$B$88,0),10)),"",INDEX($A$37:$U$88,MATCH($B100,$B$37:$B$88,0),10))</f>
        <v>8</v>
      </c>
      <c r="K100" s="17">
        <f>IF(ISNA(INDEX($A$37:$U$88,MATCH($B100,$B$37:$B$88,0),11)),"",INDEX($A$37:$U$88,MATCH($B100,$B$37:$B$88,0),11))</f>
        <v>2</v>
      </c>
      <c r="L100" s="17">
        <f>IF(ISNA(INDEX($A$37:$U$88,MATCH($B100,$B$37:$B$88,0),12)),"",INDEX($A$37:$U$88,MATCH($B100,$B$37:$B$88,0),12))</f>
        <v>1</v>
      </c>
      <c r="M100" s="17">
        <f>IF(ISNA(INDEX($A$37:$U$88,MATCH($B100,$B$37:$B$88,0),13)),"",INDEX($A$37:$U$88,MATCH($B100,$B$37:$B$88,0),13))</f>
        <v>0</v>
      </c>
      <c r="N100" s="17">
        <f>IF(ISNA(INDEX($A$37:$U$88,MATCH($B100,$B$37:$B$88,0),14)),"",INDEX($A$37:$U$88,MATCH($B100,$B$37:$B$88,0),14))</f>
        <v>1</v>
      </c>
      <c r="O100" s="17">
        <f>IF(ISNA(INDEX($A$37:$U$88,MATCH($B100,$B$37:$B$88,0),15)),"",INDEX($A$37:$U$88,MATCH($B100,$B$37:$B$88,0),15))</f>
        <v>4</v>
      </c>
      <c r="P100" s="17">
        <f>IF(ISNA(INDEX($A$37:$U$88,MATCH($B100,$B$37:$B$88,0),16)),"",INDEX($A$37:$U$88,MATCH($B100,$B$37:$B$88,0),16))</f>
        <v>10</v>
      </c>
      <c r="Q100" s="17">
        <f>IF(ISNA(INDEX($A$37:$U$88,MATCH($B100,$B$37:$B$88,0),17)),"",INDEX($A$37:$U$88,MATCH($B100,$B$37:$B$88,0),17))</f>
        <v>14</v>
      </c>
      <c r="R100" s="25" t="str">
        <f>IF(ISNA(INDEX($A$37:$U$88,MATCH($B100,$B$37:$B$88,0),18)),"",INDEX($A$37:$U$88,MATCH($B100,$B$37:$B$88,0),18))</f>
        <v>E</v>
      </c>
      <c r="S100" s="25">
        <f>IF(ISNA(INDEX($A$37:$U$88,MATCH($B100,$B$37:$B$88,0),19)),"",INDEX($A$37:$U$88,MATCH($B100,$B$37:$B$88,0),19))</f>
        <v>0</v>
      </c>
      <c r="T100" s="25">
        <f>IF(ISNA(INDEX($A$37:$U$88,MATCH($B100,$B$37:$B$88,0),20)),"",INDEX($A$37:$U$88,MATCH($B100,$B$37:$B$88,0),20))</f>
        <v>0</v>
      </c>
      <c r="U100" s="16" t="s">
        <v>37</v>
      </c>
    </row>
    <row r="101" spans="1:21" x14ac:dyDescent="0.25">
      <c r="A101" s="27" t="str">
        <f>IF(ISNA(INDEX($A$37:$U$88,MATCH($B101,$B$37:$B$88,0),1)),"",INDEX($A$37:$U$88,MATCH($B101,$B$37:$B$88,0),1))</f>
        <v>MMR3041</v>
      </c>
      <c r="B101" s="133" t="s">
        <v>132</v>
      </c>
      <c r="C101" s="133"/>
      <c r="D101" s="133"/>
      <c r="E101" s="133"/>
      <c r="F101" s="133"/>
      <c r="G101" s="133"/>
      <c r="H101" s="133"/>
      <c r="I101" s="133"/>
      <c r="J101" s="17">
        <f>IF(ISNA(INDEX($A$37:$U$88,MATCH($B101,$B$37:$B$88,0),10)),"",INDEX($A$37:$U$88,MATCH($B101,$B$37:$B$88,0),10))</f>
        <v>6</v>
      </c>
      <c r="K101" s="17">
        <f>IF(ISNA(INDEX($A$37:$U$88,MATCH($B101,$B$37:$B$88,0),11)),"",INDEX($A$37:$U$88,MATCH($B101,$B$37:$B$88,0),11))</f>
        <v>2</v>
      </c>
      <c r="L101" s="17">
        <f>IF(ISNA(INDEX($A$37:$U$88,MATCH($B101,$B$37:$B$88,0),12)),"",INDEX($A$37:$U$88,MATCH($B101,$B$37:$B$88,0),12))</f>
        <v>1</v>
      </c>
      <c r="M101" s="17">
        <f>IF(ISNA(INDEX($A$37:$U$88,MATCH($B101,$B$37:$B$88,0),13)),"",INDEX($A$37:$U$88,MATCH($B101,$B$37:$B$88,0),13))</f>
        <v>0</v>
      </c>
      <c r="N101" s="17">
        <f>IF(ISNA(INDEX($A$37:$U$88,MATCH($B101,$B$37:$B$88,0),14)),"",INDEX($A$37:$U$88,MATCH($B101,$B$37:$B$88,0),14))</f>
        <v>0</v>
      </c>
      <c r="O101" s="17">
        <f>IF(ISNA(INDEX($A$37:$U$88,MATCH($B101,$B$37:$B$88,0),15)),"",INDEX($A$37:$U$88,MATCH($B101,$B$37:$B$88,0),15))</f>
        <v>3</v>
      </c>
      <c r="P101" s="17">
        <f>IF(ISNA(INDEX($A$37:$U$88,MATCH($B101,$B$37:$B$88,0),16)),"",INDEX($A$37:$U$88,MATCH($B101,$B$37:$B$88,0),16))</f>
        <v>8</v>
      </c>
      <c r="Q101" s="17">
        <f>IF(ISNA(INDEX($A$37:$U$88,MATCH($B101,$B$37:$B$88,0),17)),"",INDEX($A$37:$U$88,MATCH($B101,$B$37:$B$88,0),17))</f>
        <v>11</v>
      </c>
      <c r="R101" s="25">
        <f>IF(ISNA(INDEX($A$37:$U$88,MATCH($B101,$B$37:$B$88,0),18)),"",INDEX($A$37:$U$88,MATCH($B101,$B$37:$B$88,0),18))</f>
        <v>0</v>
      </c>
      <c r="S101" s="25" t="str">
        <f>IF(ISNA(INDEX($A$37:$U$88,MATCH($B101,$B$37:$B$88,0),19)),"",INDEX($A$37:$U$88,MATCH($B101,$B$37:$B$88,0),19))</f>
        <v>C</v>
      </c>
      <c r="T101" s="25">
        <f>IF(ISNA(INDEX($A$37:$U$88,MATCH($B101,$B$37:$B$88,0),20)),"",INDEX($A$37:$U$88,MATCH($B101,$B$37:$B$88,0),20))</f>
        <v>0</v>
      </c>
      <c r="U101" s="16" t="s">
        <v>37</v>
      </c>
    </row>
    <row r="102" spans="1:21" x14ac:dyDescent="0.25">
      <c r="A102" s="27" t="str">
        <f>IF(ISNA(INDEX($A$37:$U$88,MATCH($B102,$B$37:$B$88,0),1)),"",INDEX($A$37:$U$88,MATCH($B102,$B$37:$B$88,0),1))</f>
        <v>MMR3055</v>
      </c>
      <c r="B102" s="133" t="s">
        <v>134</v>
      </c>
      <c r="C102" s="133"/>
      <c r="D102" s="133"/>
      <c r="E102" s="133"/>
      <c r="F102" s="133"/>
      <c r="G102" s="133"/>
      <c r="H102" s="133"/>
      <c r="I102" s="133"/>
      <c r="J102" s="17">
        <f>IF(ISNA(INDEX($A$37:$U$88,MATCH($B102,$B$37:$B$88,0),10)),"",INDEX($A$37:$U$88,MATCH($B102,$B$37:$B$88,0),10))</f>
        <v>8</v>
      </c>
      <c r="K102" s="17">
        <f>IF(ISNA(INDEX($A$37:$U$88,MATCH($B102,$B$37:$B$88,0),11)),"",INDEX($A$37:$U$88,MATCH($B102,$B$37:$B$88,0),11))</f>
        <v>2</v>
      </c>
      <c r="L102" s="17">
        <f>IF(ISNA(INDEX($A$37:$U$88,MATCH($B102,$B$37:$B$88,0),12)),"",INDEX($A$37:$U$88,MATCH($B102,$B$37:$B$88,0),12))</f>
        <v>0</v>
      </c>
      <c r="M102" s="17">
        <f>IF(ISNA(INDEX($A$37:$U$88,MATCH($B102,$B$37:$B$88,0),13)),"",INDEX($A$37:$U$88,MATCH($B102,$B$37:$B$88,0),13))</f>
        <v>1</v>
      </c>
      <c r="N102" s="17">
        <f>IF(ISNA(INDEX($A$37:$U$88,MATCH($B102,$B$37:$B$88,0),14)),"",INDEX($A$37:$U$88,MATCH($B102,$B$37:$B$88,0),14))</f>
        <v>1</v>
      </c>
      <c r="O102" s="17">
        <f>IF(ISNA(INDEX($A$37:$U$88,MATCH($B102,$B$37:$B$88,0),15)),"",INDEX($A$37:$U$88,MATCH($B102,$B$37:$B$88,0),15))</f>
        <v>4</v>
      </c>
      <c r="P102" s="17">
        <f>IF(ISNA(INDEX($A$37:$U$88,MATCH($B102,$B$37:$B$88,0),16)),"",INDEX($A$37:$U$88,MATCH($B102,$B$37:$B$88,0),16))</f>
        <v>10</v>
      </c>
      <c r="Q102" s="17">
        <f>IF(ISNA(INDEX($A$37:$U$88,MATCH($B102,$B$37:$B$88,0),17)),"",INDEX($A$37:$U$88,MATCH($B102,$B$37:$B$88,0),17))</f>
        <v>14</v>
      </c>
      <c r="R102" s="25">
        <f>IF(ISNA(INDEX($A$37:$U$88,MATCH($B102,$B$37:$B$88,0),18)),"",INDEX($A$37:$U$88,MATCH($B102,$B$37:$B$88,0),18))</f>
        <v>0</v>
      </c>
      <c r="S102" s="25" t="str">
        <f>IF(ISNA(INDEX($A$37:$U$88,MATCH($B102,$B$37:$B$88,0),19)),"",INDEX($A$37:$U$88,MATCH($B102,$B$37:$B$88,0),19))</f>
        <v>C</v>
      </c>
      <c r="T102" s="25">
        <f>IF(ISNA(INDEX($A$37:$U$88,MATCH($B102,$B$37:$B$88,0),20)),"",INDEX($A$37:$U$88,MATCH($B102,$B$37:$B$88,0),20))</f>
        <v>0</v>
      </c>
      <c r="U102" s="16" t="s">
        <v>37</v>
      </c>
    </row>
    <row r="103" spans="1:21" x14ac:dyDescent="0.25">
      <c r="A103" s="18" t="s">
        <v>25</v>
      </c>
      <c r="B103" s="134"/>
      <c r="C103" s="135"/>
      <c r="D103" s="135"/>
      <c r="E103" s="135"/>
      <c r="F103" s="135"/>
      <c r="G103" s="135"/>
      <c r="H103" s="135"/>
      <c r="I103" s="136"/>
      <c r="J103" s="20">
        <f>IF(ISNA(SUM(J94:J102)),"",SUM(J94:J102))</f>
        <v>69</v>
      </c>
      <c r="K103" s="20">
        <f t="shared" ref="K103:Q103" si="22">SUM(K94:K102)</f>
        <v>17</v>
      </c>
      <c r="L103" s="20">
        <f t="shared" si="22"/>
        <v>6</v>
      </c>
      <c r="M103" s="20">
        <f t="shared" si="22"/>
        <v>7</v>
      </c>
      <c r="N103" s="20">
        <f t="shared" si="22"/>
        <v>8</v>
      </c>
      <c r="O103" s="20">
        <f t="shared" si="22"/>
        <v>38</v>
      </c>
      <c r="P103" s="20">
        <f t="shared" si="22"/>
        <v>85</v>
      </c>
      <c r="Q103" s="20">
        <f t="shared" si="22"/>
        <v>123</v>
      </c>
      <c r="R103" s="18">
        <f>COUNTIF(R94:R102,"E")</f>
        <v>4</v>
      </c>
      <c r="S103" s="18">
        <f>COUNTIF(S94:S102,"C")</f>
        <v>4</v>
      </c>
      <c r="T103" s="18">
        <f>COUNTIF(T94:T102,"VP")</f>
        <v>1</v>
      </c>
      <c r="U103" s="16"/>
    </row>
    <row r="104" spans="1:21" ht="17.25" customHeight="1" x14ac:dyDescent="0.25">
      <c r="A104" s="95" t="s">
        <v>63</v>
      </c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7"/>
    </row>
    <row r="105" spans="1:21" hidden="1" x14ac:dyDescent="0.25">
      <c r="A105" s="27" t="str">
        <f>IF(ISNA(INDEX($A$37:$U$88,MATCH($B105,$B$37:$B$88,0),1)),"",INDEX($A$37:$U$88,MATCH($B105,$B$37:$B$88,0),1))</f>
        <v/>
      </c>
      <c r="B105" s="133"/>
      <c r="C105" s="133"/>
      <c r="D105" s="133"/>
      <c r="E105" s="133"/>
      <c r="F105" s="133"/>
      <c r="G105" s="133"/>
      <c r="H105" s="133"/>
      <c r="I105" s="133"/>
      <c r="J105" s="17" t="str">
        <f>IF(ISNA(INDEX($A$37:$U$88,MATCH($B105,$B$37:$B$88,0),10)),"",INDEX($A$37:$U$88,MATCH($B105,$B$37:$B$88,0),10))</f>
        <v/>
      </c>
      <c r="K105" s="17" t="str">
        <f>IF(ISNA(INDEX($A$37:$U$88,MATCH($B105,$B$37:$B$88,0),11)),"",INDEX($A$37:$U$88,MATCH($B105,$B$37:$B$88,0),11))</f>
        <v/>
      </c>
      <c r="L105" s="17" t="str">
        <f>IF(ISNA(INDEX($A$37:$U$88,MATCH($B105,$B$37:$B$88,0),12)),"",INDEX($A$37:$U$88,MATCH($B105,$B$37:$B$88,0),12))</f>
        <v/>
      </c>
      <c r="M105" s="17" t="str">
        <f>IF(ISNA(INDEX($A$37:$U$88,MATCH($B105,$B$37:$B$88,0),13)),"",INDEX($A$37:$U$88,MATCH($B105,$B$37:$B$88,0),13))</f>
        <v/>
      </c>
      <c r="N105" s="17" t="str">
        <f>IF(ISNA(INDEX($A$37:$U$88,MATCH($B105,$B$37:$B$88,0),14)),"",INDEX($A$37:$U$88,MATCH($B105,$B$37:$B$88,0),14))</f>
        <v/>
      </c>
      <c r="O105" s="17" t="str">
        <f>IF(ISNA(INDEX($A$37:$U$88,MATCH($B105,$B$37:$B$88,0),15)),"",INDEX($A$37:$U$88,MATCH($B105,$B$37:$B$88,0),15))</f>
        <v/>
      </c>
      <c r="P105" s="17" t="str">
        <f>IF(ISNA(INDEX($A$37:$U$88,MATCH($B105,$B$37:$B$88,0),16)),"",INDEX($A$37:$U$88,MATCH($B105,$B$37:$B$88,0),16))</f>
        <v/>
      </c>
      <c r="Q105" s="17" t="str">
        <f>IF(ISNA(INDEX($A$37:$U$88,MATCH($B105,$B$37:$B$88,0),17)),"",INDEX($A$37:$U$88,MATCH($B105,$B$37:$B$88,0),17))</f>
        <v/>
      </c>
      <c r="R105" s="25" t="str">
        <f>IF(ISNA(INDEX($A$37:$U$88,MATCH($B105,$B$37:$B$88,0),18)),"",INDEX($A$37:$U$88,MATCH($B105,$B$37:$B$88,0),18))</f>
        <v/>
      </c>
      <c r="S105" s="25" t="str">
        <f>IF(ISNA(INDEX($A$37:$U$88,MATCH($B105,$B$37:$B$88,0),19)),"",INDEX($A$37:$U$88,MATCH($B105,$B$37:$B$88,0),19))</f>
        <v/>
      </c>
      <c r="T105" s="25" t="str">
        <f>IF(ISNA(INDEX($A$37:$U$88,MATCH($B105,$B$37:$B$88,0),20)),"",INDEX($A$37:$U$88,MATCH($B105,$B$37:$B$88,0),20))</f>
        <v/>
      </c>
      <c r="U105" s="16"/>
    </row>
    <row r="106" spans="1:21" x14ac:dyDescent="0.25">
      <c r="A106" s="18" t="s">
        <v>25</v>
      </c>
      <c r="B106" s="144"/>
      <c r="C106" s="144"/>
      <c r="D106" s="144"/>
      <c r="E106" s="144"/>
      <c r="F106" s="144"/>
      <c r="G106" s="144"/>
      <c r="H106" s="144"/>
      <c r="I106" s="144"/>
      <c r="J106" s="20">
        <f t="shared" ref="J106:Q106" si="23">SUM(J105:J105)</f>
        <v>0</v>
      </c>
      <c r="K106" s="20">
        <f t="shared" si="23"/>
        <v>0</v>
      </c>
      <c r="L106" s="20">
        <f t="shared" si="23"/>
        <v>0</v>
      </c>
      <c r="M106" s="20">
        <f t="shared" si="23"/>
        <v>0</v>
      </c>
      <c r="N106" s="20">
        <f t="shared" si="23"/>
        <v>0</v>
      </c>
      <c r="O106" s="20">
        <f t="shared" si="23"/>
        <v>0</v>
      </c>
      <c r="P106" s="20">
        <f t="shared" si="23"/>
        <v>0</v>
      </c>
      <c r="Q106" s="20">
        <f t="shared" si="23"/>
        <v>0</v>
      </c>
      <c r="R106" s="18">
        <f>COUNTIF(R105:R105,"E")</f>
        <v>0</v>
      </c>
      <c r="S106" s="18">
        <f>COUNTIF(S105:S105,"C")</f>
        <v>0</v>
      </c>
      <c r="T106" s="18">
        <f>COUNTIF(T105:T105,"VP")</f>
        <v>0</v>
      </c>
      <c r="U106" s="19"/>
    </row>
    <row r="107" spans="1:21" ht="27" customHeight="1" x14ac:dyDescent="0.25">
      <c r="A107" s="145" t="s">
        <v>73</v>
      </c>
      <c r="B107" s="146"/>
      <c r="C107" s="146"/>
      <c r="D107" s="146"/>
      <c r="E107" s="146"/>
      <c r="F107" s="146"/>
      <c r="G107" s="146"/>
      <c r="H107" s="146"/>
      <c r="I107" s="147"/>
      <c r="J107" s="20">
        <f t="shared" ref="J107:T107" si="24">SUM(J103,J106)</f>
        <v>69</v>
      </c>
      <c r="K107" s="20">
        <f t="shared" si="24"/>
        <v>17</v>
      </c>
      <c r="L107" s="20">
        <f t="shared" si="24"/>
        <v>6</v>
      </c>
      <c r="M107" s="20">
        <f t="shared" si="24"/>
        <v>7</v>
      </c>
      <c r="N107" s="20">
        <f t="shared" si="24"/>
        <v>8</v>
      </c>
      <c r="O107" s="20">
        <f t="shared" si="24"/>
        <v>38</v>
      </c>
      <c r="P107" s="20">
        <f t="shared" si="24"/>
        <v>85</v>
      </c>
      <c r="Q107" s="20">
        <f t="shared" si="24"/>
        <v>123</v>
      </c>
      <c r="R107" s="20">
        <f t="shared" si="24"/>
        <v>4</v>
      </c>
      <c r="S107" s="20">
        <f t="shared" si="24"/>
        <v>4</v>
      </c>
      <c r="T107" s="20">
        <f t="shared" si="24"/>
        <v>1</v>
      </c>
      <c r="U107" s="45">
        <f>COUNTA(U94:U102)/(U44+U56+U65+U74)</f>
        <v>0.5625</v>
      </c>
    </row>
    <row r="108" spans="1:21" x14ac:dyDescent="0.25">
      <c r="A108" s="127" t="s">
        <v>48</v>
      </c>
      <c r="B108" s="128"/>
      <c r="C108" s="128"/>
      <c r="D108" s="128"/>
      <c r="E108" s="128"/>
      <c r="F108" s="128"/>
      <c r="G108" s="128"/>
      <c r="H108" s="128"/>
      <c r="I108" s="128"/>
      <c r="J108" s="129"/>
      <c r="K108" s="20">
        <f>K103*14+K106*12</f>
        <v>238</v>
      </c>
      <c r="L108" s="20">
        <f t="shared" ref="L108:Q108" si="25">L103*14+L106*12</f>
        <v>84</v>
      </c>
      <c r="M108" s="20">
        <f t="shared" si="25"/>
        <v>98</v>
      </c>
      <c r="N108" s="20">
        <f t="shared" si="25"/>
        <v>112</v>
      </c>
      <c r="O108" s="20">
        <f t="shared" si="25"/>
        <v>532</v>
      </c>
      <c r="P108" s="20">
        <f t="shared" si="25"/>
        <v>1190</v>
      </c>
      <c r="Q108" s="20">
        <f t="shared" si="25"/>
        <v>1722</v>
      </c>
      <c r="R108" s="137"/>
      <c r="S108" s="138"/>
      <c r="T108" s="138"/>
      <c r="U108" s="139"/>
    </row>
    <row r="109" spans="1:21" x14ac:dyDescent="0.25">
      <c r="A109" s="130"/>
      <c r="B109" s="131"/>
      <c r="C109" s="131"/>
      <c r="D109" s="131"/>
      <c r="E109" s="131"/>
      <c r="F109" s="131"/>
      <c r="G109" s="131"/>
      <c r="H109" s="131"/>
      <c r="I109" s="131"/>
      <c r="J109" s="132"/>
      <c r="K109" s="148">
        <f>SUM(K108:N108)</f>
        <v>532</v>
      </c>
      <c r="L109" s="149"/>
      <c r="M109" s="149"/>
      <c r="N109" s="150"/>
      <c r="O109" s="151">
        <f>SUM(O108:P108)</f>
        <v>1722</v>
      </c>
      <c r="P109" s="152"/>
      <c r="Q109" s="153"/>
      <c r="R109" s="140"/>
      <c r="S109" s="141"/>
      <c r="T109" s="141"/>
      <c r="U109" s="142"/>
    </row>
    <row r="110" spans="1:21" x14ac:dyDescent="0.2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50"/>
      <c r="L110" s="50"/>
      <c r="M110" s="50"/>
      <c r="N110" s="50"/>
      <c r="O110" s="51"/>
      <c r="P110" s="51"/>
      <c r="Q110" s="51"/>
      <c r="R110" s="52"/>
      <c r="S110" s="52"/>
      <c r="T110" s="52"/>
      <c r="U110" s="52"/>
    </row>
    <row r="111" spans="1:21" x14ac:dyDescent="0.2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50"/>
      <c r="L111" s="50"/>
      <c r="M111" s="50"/>
      <c r="N111" s="50"/>
      <c r="O111" s="51"/>
      <c r="P111" s="51"/>
      <c r="Q111" s="51"/>
      <c r="R111" s="52"/>
      <c r="S111" s="52"/>
      <c r="T111" s="52"/>
      <c r="U111" s="52"/>
    </row>
    <row r="112" spans="1:21" x14ac:dyDescent="0.2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50"/>
      <c r="L112" s="50"/>
      <c r="M112" s="50"/>
      <c r="N112" s="50"/>
      <c r="O112" s="51"/>
      <c r="P112" s="51"/>
      <c r="Q112" s="51"/>
      <c r="R112" s="52"/>
      <c r="S112" s="52"/>
      <c r="T112" s="52"/>
      <c r="U112" s="52"/>
    </row>
    <row r="113" spans="1:21" x14ac:dyDescent="0.2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50"/>
      <c r="L113" s="50"/>
      <c r="M113" s="50"/>
      <c r="N113" s="50"/>
      <c r="O113" s="51"/>
      <c r="P113" s="51"/>
      <c r="Q113" s="51"/>
      <c r="R113" s="52"/>
      <c r="S113" s="52"/>
      <c r="T113" s="52"/>
      <c r="U113" s="52"/>
    </row>
    <row r="114" spans="1:21" x14ac:dyDescent="0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50"/>
      <c r="L114" s="50"/>
      <c r="M114" s="50"/>
      <c r="N114" s="50"/>
      <c r="O114" s="51"/>
      <c r="P114" s="51"/>
      <c r="Q114" s="51"/>
      <c r="R114" s="52"/>
      <c r="S114" s="52"/>
      <c r="T114" s="52"/>
      <c r="U114" s="52"/>
    </row>
    <row r="117" spans="1:21" ht="28.5" customHeight="1" x14ac:dyDescent="0.25">
      <c r="A117" s="155" t="s">
        <v>100</v>
      </c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</row>
    <row r="118" spans="1:21" ht="27.75" customHeight="1" x14ac:dyDescent="0.25">
      <c r="A118" s="144" t="s">
        <v>27</v>
      </c>
      <c r="B118" s="144" t="s">
        <v>26</v>
      </c>
      <c r="C118" s="144"/>
      <c r="D118" s="144"/>
      <c r="E118" s="144"/>
      <c r="F118" s="144"/>
      <c r="G118" s="144"/>
      <c r="H118" s="144"/>
      <c r="I118" s="144"/>
      <c r="J118" s="94" t="s">
        <v>40</v>
      </c>
      <c r="K118" s="94" t="s">
        <v>24</v>
      </c>
      <c r="L118" s="94"/>
      <c r="M118" s="94"/>
      <c r="N118" s="94"/>
      <c r="O118" s="94" t="s">
        <v>41</v>
      </c>
      <c r="P118" s="94"/>
      <c r="Q118" s="94"/>
      <c r="R118" s="94" t="s">
        <v>23</v>
      </c>
      <c r="S118" s="94"/>
      <c r="T118" s="94"/>
      <c r="U118" s="94" t="s">
        <v>22</v>
      </c>
    </row>
    <row r="119" spans="1:21" ht="16.5" customHeight="1" x14ac:dyDescent="0.25">
      <c r="A119" s="144"/>
      <c r="B119" s="144"/>
      <c r="C119" s="144"/>
      <c r="D119" s="144"/>
      <c r="E119" s="144"/>
      <c r="F119" s="144"/>
      <c r="G119" s="144"/>
      <c r="H119" s="144"/>
      <c r="I119" s="144"/>
      <c r="J119" s="94"/>
      <c r="K119" s="26" t="s">
        <v>28</v>
      </c>
      <c r="L119" s="26" t="s">
        <v>29</v>
      </c>
      <c r="M119" s="26" t="s">
        <v>109</v>
      </c>
      <c r="N119" s="26" t="s">
        <v>110</v>
      </c>
      <c r="O119" s="26" t="s">
        <v>34</v>
      </c>
      <c r="P119" s="26" t="s">
        <v>7</v>
      </c>
      <c r="Q119" s="26" t="s">
        <v>31</v>
      </c>
      <c r="R119" s="26" t="s">
        <v>32</v>
      </c>
      <c r="S119" s="26" t="s">
        <v>28</v>
      </c>
      <c r="T119" s="26" t="s">
        <v>33</v>
      </c>
      <c r="U119" s="94"/>
    </row>
    <row r="120" spans="1:21" ht="17.25" customHeight="1" x14ac:dyDescent="0.25">
      <c r="A120" s="95" t="s">
        <v>62</v>
      </c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7"/>
    </row>
    <row r="121" spans="1:21" hidden="1" x14ac:dyDescent="0.25">
      <c r="A121" s="27" t="str">
        <f>IF(ISNA(INDEX($A$37:$U$88,MATCH($B121,$B$37:$B$88,0),1)),"",INDEX($A$37:$U$88,MATCH($B121,$B$37:$B$88,0),1))</f>
        <v/>
      </c>
      <c r="B121" s="133"/>
      <c r="C121" s="133"/>
      <c r="D121" s="133"/>
      <c r="E121" s="133"/>
      <c r="F121" s="133"/>
      <c r="G121" s="133"/>
      <c r="H121" s="133"/>
      <c r="I121" s="133"/>
      <c r="J121" s="17" t="str">
        <f>IF(ISNA(INDEX($A$37:$U$88,MATCH($B121,$B$37:$B$88,0),10)),"",INDEX($A$37:$U$88,MATCH($B121,$B$37:$B$88,0),10))</f>
        <v/>
      </c>
      <c r="K121" s="17" t="str">
        <f>IF(ISNA(INDEX($A$37:$U$88,MATCH($B121,$B$37:$B$88,0),11)),"",INDEX($A$37:$U$88,MATCH($B121,$B$37:$B$88,0),11))</f>
        <v/>
      </c>
      <c r="L121" s="17" t="str">
        <f>IF(ISNA(INDEX($A$37:$U$88,MATCH($B121,$B$37:$B$88,0),12)),"",INDEX($A$37:$U$88,MATCH($B121,$B$37:$B$88,0),12))</f>
        <v/>
      </c>
      <c r="M121" s="17" t="str">
        <f>IF(ISNA(INDEX($A$37:$U$88,MATCH($B121,$B$37:$B$88,0),13)),"",INDEX($A$37:$U$88,MATCH($B121,$B$37:$B$88,0),13))</f>
        <v/>
      </c>
      <c r="N121" s="17" t="str">
        <f>IF(ISNA(INDEX($A$37:$U$88,MATCH($B121,$B$37:$B$88,0),14)),"",INDEX($A$37:$U$88,MATCH($B121,$B$37:$B$88,0),14))</f>
        <v/>
      </c>
      <c r="O121" s="17" t="str">
        <f>IF(ISNA(INDEX($A$37:$U$88,MATCH($B121,$B$37:$B$88,0),15)),"",INDEX($A$37:$U$88,MATCH($B121,$B$37:$B$88,0),15))</f>
        <v/>
      </c>
      <c r="P121" s="17" t="str">
        <f>IF(ISNA(INDEX($A$37:$U$88,MATCH($B121,$B$37:$B$88,0),16)),"",INDEX($A$37:$U$88,MATCH($B121,$B$37:$B$88,0),16))</f>
        <v/>
      </c>
      <c r="Q121" s="25" t="str">
        <f>IF(ISNA(INDEX($A$37:$U$88,MATCH($B121,$B$37:$B$88,0),17)),"",INDEX($A$37:$U$88,MATCH($B121,$B$37:$B$88,0),17))</f>
        <v/>
      </c>
      <c r="R121" s="25" t="str">
        <f>IF(ISNA(INDEX($A$37:$U$88,MATCH($B121,$B$37:$B$88,0),18)),"",INDEX($A$37:$U$88,MATCH($B121,$B$37:$B$88,0),18))</f>
        <v/>
      </c>
      <c r="S121" s="25" t="str">
        <f>IF(ISNA(INDEX($A$37:$U$88,MATCH($B121,$B$37:$B$88,0),19)),"",INDEX($A$37:$U$88,MATCH($B121,$B$37:$B$88,0),19))</f>
        <v/>
      </c>
      <c r="T121" s="25" t="str">
        <f>IF(ISNA(INDEX($A$37:$U$88,MATCH($B121,$B$37:$B$88,0),20)),"",INDEX($A$37:$U$88,MATCH($B121,$B$37:$B$88,0),20))</f>
        <v/>
      </c>
      <c r="U121" s="16"/>
    </row>
    <row r="122" spans="1:21" x14ac:dyDescent="0.25">
      <c r="A122" s="18" t="s">
        <v>25</v>
      </c>
      <c r="B122" s="134"/>
      <c r="C122" s="135"/>
      <c r="D122" s="135"/>
      <c r="E122" s="135"/>
      <c r="F122" s="135"/>
      <c r="G122" s="135"/>
      <c r="H122" s="135"/>
      <c r="I122" s="136"/>
      <c r="J122" s="20">
        <f t="shared" ref="J122:Q122" si="26">SUM(J121:J121)</f>
        <v>0</v>
      </c>
      <c r="K122" s="20">
        <f t="shared" si="26"/>
        <v>0</v>
      </c>
      <c r="L122" s="20">
        <f t="shared" si="26"/>
        <v>0</v>
      </c>
      <c r="M122" s="20">
        <f t="shared" si="26"/>
        <v>0</v>
      </c>
      <c r="N122" s="20">
        <f t="shared" si="26"/>
        <v>0</v>
      </c>
      <c r="O122" s="20">
        <f t="shared" si="26"/>
        <v>0</v>
      </c>
      <c r="P122" s="20">
        <f t="shared" si="26"/>
        <v>0</v>
      </c>
      <c r="Q122" s="20">
        <f t="shared" si="26"/>
        <v>0</v>
      </c>
      <c r="R122" s="18">
        <f>COUNTIF(R121:R121,"E")</f>
        <v>0</v>
      </c>
      <c r="S122" s="18">
        <f>COUNTIF(S121:S121,"C")</f>
        <v>0</v>
      </c>
      <c r="T122" s="18">
        <f>COUNTIF(T121:T121,"VP")</f>
        <v>0</v>
      </c>
      <c r="U122" s="16"/>
    </row>
    <row r="123" spans="1:21" ht="18.75" customHeight="1" x14ac:dyDescent="0.25">
      <c r="A123" s="95" t="s">
        <v>63</v>
      </c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7"/>
    </row>
    <row r="124" spans="1:21" x14ac:dyDescent="0.25">
      <c r="A124" s="27" t="str">
        <f>IF(ISNA(INDEX($A$37:$U$88,MATCH($B124,$B$37:$B$88,0),1)),"",INDEX($A$37:$U$88,MATCH($B124,$B$37:$B$88,0),1))</f>
        <v>MMX3221</v>
      </c>
      <c r="B124" s="133" t="s">
        <v>136</v>
      </c>
      <c r="C124" s="133"/>
      <c r="D124" s="133"/>
      <c r="E124" s="133"/>
      <c r="F124" s="133"/>
      <c r="G124" s="133"/>
      <c r="H124" s="133"/>
      <c r="I124" s="133"/>
      <c r="J124" s="17">
        <f>IF(ISNA(INDEX($A$37:$U$88,MATCH($B124,$B$37:$B$88,0),10)),"",INDEX($A$37:$U$88,MATCH($B124,$B$37:$B$88,0),10))</f>
        <v>9</v>
      </c>
      <c r="K124" s="17">
        <f>IF(ISNA(INDEX($A$37:$U$88,MATCH($B124,$B$37:$B$88,0),11)),"",INDEX($A$37:$U$88,MATCH($B124,$B$37:$B$88,0),11))</f>
        <v>2</v>
      </c>
      <c r="L124" s="17">
        <f>IF(ISNA(INDEX($A$37:$U$88,MATCH($B124,$B$37:$B$88,0),12)),"",INDEX($A$37:$U$88,MATCH($B124,$B$37:$B$88,0),12))</f>
        <v>1</v>
      </c>
      <c r="M124" s="17">
        <f>IF(ISNA(INDEX($A$37:$U$88,MATCH($B124,$B$37:$B$88,0),13)),"",INDEX($A$37:$U$88,MATCH($B124,$B$37:$B$88,0),13))</f>
        <v>0</v>
      </c>
      <c r="N124" s="17">
        <f>IF(ISNA(INDEX($A$37:$U$88,MATCH($B124,$B$37:$B$88,0),14)),"",INDEX($A$37:$U$88,MATCH($B124,$B$37:$B$88,0),14))</f>
        <v>1</v>
      </c>
      <c r="O124" s="17">
        <f>IF(ISNA(INDEX($A$37:$U$88,MATCH($B124,$B$37:$B$88,0),15)),"",INDEX($A$37:$U$88,MATCH($B124,$B$37:$B$88,0),15))</f>
        <v>4</v>
      </c>
      <c r="P124" s="17">
        <f>IF(ISNA(INDEX($A$37:$U$88,MATCH($B124,$B$37:$B$88,0),16)),"",INDEX($A$37:$U$88,MATCH($B124,$B$37:$B$88,0),16))</f>
        <v>15</v>
      </c>
      <c r="Q124" s="25">
        <f>IF(ISNA(INDEX($A$37:$U$88,MATCH($B124,$B$37:$B$88,0),17)),"",INDEX($A$37:$U$88,MATCH($B124,$B$37:$B$88,0),17))</f>
        <v>19</v>
      </c>
      <c r="R124" s="25" t="str">
        <f>IF(ISNA(INDEX($A$37:$U$88,MATCH($B124,$B$37:$B$88,0),18)),"",INDEX($A$37:$U$88,MATCH($B124,$B$37:$B$88,0),18))</f>
        <v>E</v>
      </c>
      <c r="S124" s="25">
        <f>IF(ISNA(INDEX($A$37:$U$88,MATCH($B124,$B$37:$B$88,0),19)),"",INDEX($A$37:$U$88,MATCH($B124,$B$37:$B$88,0),19))</f>
        <v>0</v>
      </c>
      <c r="T124" s="25">
        <f>IF(ISNA(INDEX($A$37:$U$88,MATCH($B124,$B$37:$B$88,0),20)),"",INDEX($A$37:$U$88,MATCH($B124,$B$37:$B$88,0),20))</f>
        <v>0</v>
      </c>
      <c r="U124" s="16" t="s">
        <v>38</v>
      </c>
    </row>
    <row r="125" spans="1:21" x14ac:dyDescent="0.25">
      <c r="A125" s="27" t="str">
        <f>IF(ISNA(INDEX($A$37:$U$88,MATCH($B125,$B$37:$B$88,0),1)),"",INDEX($A$37:$U$88,MATCH($B125,$B$37:$B$88,0),1))</f>
        <v>MMX3222</v>
      </c>
      <c r="B125" s="133" t="s">
        <v>138</v>
      </c>
      <c r="C125" s="133"/>
      <c r="D125" s="133"/>
      <c r="E125" s="133"/>
      <c r="F125" s="133"/>
      <c r="G125" s="133"/>
      <c r="H125" s="133"/>
      <c r="I125" s="133"/>
      <c r="J125" s="17">
        <f>IF(ISNA(INDEX($A$37:$U$88,MATCH($B125,$B$37:$B$88,0),10)),"",INDEX($A$37:$U$88,MATCH($B125,$B$37:$B$88,0),10))</f>
        <v>9</v>
      </c>
      <c r="K125" s="17">
        <f>IF(ISNA(INDEX($A$37:$U$88,MATCH($B125,$B$37:$B$88,0),11)),"",INDEX($A$37:$U$88,MATCH($B125,$B$37:$B$88,0),11))</f>
        <v>2</v>
      </c>
      <c r="L125" s="17">
        <f>IF(ISNA(INDEX($A$37:$U$88,MATCH($B125,$B$37:$B$88,0),12)),"",INDEX($A$37:$U$88,MATCH($B125,$B$37:$B$88,0),12))</f>
        <v>1</v>
      </c>
      <c r="M125" s="17">
        <f>IF(ISNA(INDEX($A$37:$U$88,MATCH($B125,$B$37:$B$88,0),13)),"",INDEX($A$37:$U$88,MATCH($B125,$B$37:$B$88,0),13))</f>
        <v>0</v>
      </c>
      <c r="N125" s="17">
        <f>IF(ISNA(INDEX($A$37:$U$88,MATCH($B125,$B$37:$B$88,0),14)),"",INDEX($A$37:$U$88,MATCH($B125,$B$37:$B$88,0),14))</f>
        <v>1</v>
      </c>
      <c r="O125" s="17">
        <f>IF(ISNA(INDEX($A$37:$U$88,MATCH($B125,$B$37:$B$88,0),15)),"",INDEX($A$37:$U$88,MATCH($B125,$B$37:$B$88,0),15))</f>
        <v>4</v>
      </c>
      <c r="P125" s="17">
        <f>IF(ISNA(INDEX($A$37:$U$88,MATCH($B125,$B$37:$B$88,0),16)),"",INDEX($A$37:$U$88,MATCH($B125,$B$37:$B$88,0),16))</f>
        <v>15</v>
      </c>
      <c r="Q125" s="25">
        <f>IF(ISNA(INDEX($A$37:$U$88,MATCH($B125,$B$37:$B$88,0),17)),"",INDEX($A$37:$U$88,MATCH($B125,$B$37:$B$88,0),17))</f>
        <v>19</v>
      </c>
      <c r="R125" s="25" t="str">
        <f>IF(ISNA(INDEX($A$37:$U$88,MATCH($B125,$B$37:$B$88,0),18)),"",INDEX($A$37:$U$88,MATCH($B125,$B$37:$B$88,0),18))</f>
        <v>E</v>
      </c>
      <c r="S125" s="25">
        <f>IF(ISNA(INDEX($A$37:$U$88,MATCH($B125,$B$37:$B$88,0),19)),"",INDEX($A$37:$U$88,MATCH($B125,$B$37:$B$88,0),19))</f>
        <v>0</v>
      </c>
      <c r="T125" s="25">
        <f>IF(ISNA(INDEX($A$37:$U$88,MATCH($B125,$B$37:$B$88,0),20)),"",INDEX($A$37:$U$88,MATCH($B125,$B$37:$B$88,0),20))</f>
        <v>0</v>
      </c>
      <c r="U125" s="16" t="s">
        <v>38</v>
      </c>
    </row>
    <row r="126" spans="1:21" x14ac:dyDescent="0.25">
      <c r="A126" s="27" t="str">
        <f>IF(ISNA(INDEX($A$37:$U$88,MATCH($B126,$B$37:$B$88,0),1)),"",INDEX($A$37:$U$88,MATCH($B126,$B$37:$B$88,0),1))</f>
        <v>MMR3042</v>
      </c>
      <c r="B126" s="133" t="s">
        <v>139</v>
      </c>
      <c r="C126" s="133"/>
      <c r="D126" s="133"/>
      <c r="E126" s="133"/>
      <c r="F126" s="133"/>
      <c r="G126" s="133"/>
      <c r="H126" s="133"/>
      <c r="I126" s="133"/>
      <c r="J126" s="17">
        <f>IF(ISNA(INDEX($A$37:$U$88,MATCH($B126,$B$37:$B$88,0),10)),"",INDEX($A$37:$U$88,MATCH($B126,$B$37:$B$88,0),10))</f>
        <v>8</v>
      </c>
      <c r="K126" s="17">
        <f>IF(ISNA(INDEX($A$37:$U$88,MATCH($B126,$B$37:$B$88,0),11)),"",INDEX($A$37:$U$88,MATCH($B126,$B$37:$B$88,0),11))</f>
        <v>0</v>
      </c>
      <c r="L126" s="17">
        <f>IF(ISNA(INDEX($A$37:$U$88,MATCH($B126,$B$37:$B$88,0),12)),"",INDEX($A$37:$U$88,MATCH($B126,$B$37:$B$88,0),12))</f>
        <v>0</v>
      </c>
      <c r="M126" s="17">
        <f>IF(ISNA(INDEX($A$37:$U$88,MATCH($B126,$B$37:$B$88,0),13)),"",INDEX($A$37:$U$88,MATCH($B126,$B$37:$B$88,0),13))</f>
        <v>0</v>
      </c>
      <c r="N126" s="17">
        <f>IF(ISNA(INDEX($A$37:$U$88,MATCH($B126,$B$37:$B$88,0),14)),"",INDEX($A$37:$U$88,MATCH($B126,$B$37:$B$88,0),14))</f>
        <v>5</v>
      </c>
      <c r="O126" s="17">
        <f>IF(ISNA(INDEX($A$37:$U$88,MATCH($B126,$B$37:$B$88,0),15)),"",INDEX($A$37:$U$88,MATCH($B126,$B$37:$B$88,0),15))</f>
        <v>5</v>
      </c>
      <c r="P126" s="17">
        <f>IF(ISNA(INDEX($A$37:$U$88,MATCH($B126,$B$37:$B$88,0),16)),"",INDEX($A$37:$U$88,MATCH($B126,$B$37:$B$88,0),16))</f>
        <v>12</v>
      </c>
      <c r="Q126" s="25">
        <f>IF(ISNA(INDEX($A$37:$U$88,MATCH($B126,$B$37:$B$88,0),17)),"",INDEX($A$37:$U$88,MATCH($B126,$B$37:$B$88,0),17))</f>
        <v>17</v>
      </c>
      <c r="R126" s="25">
        <f>IF(ISNA(INDEX($A$37:$U$88,MATCH($B126,$B$37:$B$88,0),18)),"",INDEX($A$37:$U$88,MATCH($B126,$B$37:$B$88,0),18))</f>
        <v>0</v>
      </c>
      <c r="S126" s="25" t="str">
        <f>IF(ISNA(INDEX($A$37:$U$88,MATCH($B126,$B$37:$B$88,0),19)),"",INDEX($A$37:$U$88,MATCH($B126,$B$37:$B$88,0),19))</f>
        <v>C</v>
      </c>
      <c r="T126" s="25">
        <f>IF(ISNA(INDEX($A$37:$U$88,MATCH($B126,$B$37:$B$88,0),20)),"",INDEX($A$37:$U$88,MATCH($B126,$B$37:$B$88,0),20))</f>
        <v>0</v>
      </c>
      <c r="U126" s="16" t="s">
        <v>38</v>
      </c>
    </row>
    <row r="127" spans="1:21" x14ac:dyDescent="0.25">
      <c r="A127" s="18" t="s">
        <v>25</v>
      </c>
      <c r="B127" s="144"/>
      <c r="C127" s="144"/>
      <c r="D127" s="144"/>
      <c r="E127" s="144"/>
      <c r="F127" s="144"/>
      <c r="G127" s="144"/>
      <c r="H127" s="144"/>
      <c r="I127" s="144"/>
      <c r="J127" s="20">
        <f t="shared" ref="J127:Q127" si="27">SUM(J124:J126)</f>
        <v>26</v>
      </c>
      <c r="K127" s="20">
        <f t="shared" si="27"/>
        <v>4</v>
      </c>
      <c r="L127" s="20">
        <f t="shared" si="27"/>
        <v>2</v>
      </c>
      <c r="M127" s="20">
        <f t="shared" si="27"/>
        <v>0</v>
      </c>
      <c r="N127" s="20">
        <f t="shared" si="27"/>
        <v>7</v>
      </c>
      <c r="O127" s="20">
        <f t="shared" si="27"/>
        <v>13</v>
      </c>
      <c r="P127" s="20">
        <f t="shared" si="27"/>
        <v>42</v>
      </c>
      <c r="Q127" s="20">
        <f t="shared" si="27"/>
        <v>55</v>
      </c>
      <c r="R127" s="18">
        <f>COUNTIF(R124:R126,"E")</f>
        <v>2</v>
      </c>
      <c r="S127" s="18">
        <f>COUNTIF(S124:S126,"C")</f>
        <v>1</v>
      </c>
      <c r="T127" s="18">
        <f>COUNTIF(T124:T126,"VP")</f>
        <v>0</v>
      </c>
      <c r="U127" s="19"/>
    </row>
    <row r="128" spans="1:21" ht="30.75" customHeight="1" x14ac:dyDescent="0.25">
      <c r="A128" s="145" t="s">
        <v>73</v>
      </c>
      <c r="B128" s="146"/>
      <c r="C128" s="146"/>
      <c r="D128" s="146"/>
      <c r="E128" s="146"/>
      <c r="F128" s="146"/>
      <c r="G128" s="146"/>
      <c r="H128" s="146"/>
      <c r="I128" s="147"/>
      <c r="J128" s="20">
        <f>SUM(J122,J127)</f>
        <v>26</v>
      </c>
      <c r="K128" s="20">
        <f>SUM(K122,K127)</f>
        <v>4</v>
      </c>
      <c r="L128" s="20">
        <f t="shared" ref="L128:T128" si="28">SUM(L122,L127)</f>
        <v>2</v>
      </c>
      <c r="M128" s="20">
        <f t="shared" si="28"/>
        <v>0</v>
      </c>
      <c r="N128" s="20">
        <f t="shared" si="28"/>
        <v>7</v>
      </c>
      <c r="O128" s="20">
        <f t="shared" si="28"/>
        <v>13</v>
      </c>
      <c r="P128" s="20">
        <f t="shared" si="28"/>
        <v>42</v>
      </c>
      <c r="Q128" s="20">
        <f t="shared" si="28"/>
        <v>55</v>
      </c>
      <c r="R128" s="20">
        <f t="shared" si="28"/>
        <v>2</v>
      </c>
      <c r="S128" s="20">
        <f t="shared" si="28"/>
        <v>1</v>
      </c>
      <c r="T128" s="20">
        <f t="shared" si="28"/>
        <v>0</v>
      </c>
      <c r="U128" s="45">
        <f>COUNTA(U124:U126)/(U44+U56+U65+U74)</f>
        <v>0.1875</v>
      </c>
    </row>
    <row r="129" spans="1:21" ht="15.75" customHeight="1" x14ac:dyDescent="0.25">
      <c r="A129" s="127" t="s">
        <v>48</v>
      </c>
      <c r="B129" s="128"/>
      <c r="C129" s="128"/>
      <c r="D129" s="128"/>
      <c r="E129" s="128"/>
      <c r="F129" s="128"/>
      <c r="G129" s="128"/>
      <c r="H129" s="128"/>
      <c r="I129" s="128"/>
      <c r="J129" s="129"/>
      <c r="K129" s="20">
        <f t="shared" ref="K129:Q129" si="29">K122*14+K127*12</f>
        <v>48</v>
      </c>
      <c r="L129" s="20">
        <f t="shared" si="29"/>
        <v>24</v>
      </c>
      <c r="M129" s="20">
        <f t="shared" si="29"/>
        <v>0</v>
      </c>
      <c r="N129" s="20">
        <f t="shared" si="29"/>
        <v>84</v>
      </c>
      <c r="O129" s="20">
        <f t="shared" si="29"/>
        <v>156</v>
      </c>
      <c r="P129" s="20">
        <f t="shared" si="29"/>
        <v>504</v>
      </c>
      <c r="Q129" s="20">
        <f t="shared" si="29"/>
        <v>660</v>
      </c>
      <c r="R129" s="137"/>
      <c r="S129" s="138"/>
      <c r="T129" s="138"/>
      <c r="U129" s="139"/>
    </row>
    <row r="130" spans="1:21" ht="17.25" customHeight="1" x14ac:dyDescent="0.25">
      <c r="A130" s="130"/>
      <c r="B130" s="131"/>
      <c r="C130" s="131"/>
      <c r="D130" s="131"/>
      <c r="E130" s="131"/>
      <c r="F130" s="131"/>
      <c r="G130" s="131"/>
      <c r="H130" s="131"/>
      <c r="I130" s="131"/>
      <c r="J130" s="132"/>
      <c r="K130" s="148">
        <f>SUM(K129:N129)</f>
        <v>156</v>
      </c>
      <c r="L130" s="149"/>
      <c r="M130" s="149"/>
      <c r="N130" s="150"/>
      <c r="O130" s="151">
        <f>SUM(O129:P129)</f>
        <v>660</v>
      </c>
      <c r="P130" s="152"/>
      <c r="Q130" s="153"/>
      <c r="R130" s="140"/>
      <c r="S130" s="141"/>
      <c r="T130" s="141"/>
      <c r="U130" s="142"/>
    </row>
    <row r="131" spans="1:21" ht="17.25" customHeight="1" x14ac:dyDescent="0.2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50"/>
      <c r="L131" s="50"/>
      <c r="M131" s="50"/>
      <c r="N131" s="50"/>
      <c r="O131" s="51"/>
      <c r="P131" s="51"/>
      <c r="Q131" s="51"/>
      <c r="R131" s="52"/>
      <c r="S131" s="52"/>
      <c r="T131" s="52"/>
      <c r="U131" s="52"/>
    </row>
    <row r="132" spans="1:21" ht="17.25" customHeight="1" x14ac:dyDescent="0.2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50"/>
      <c r="L132" s="50"/>
      <c r="M132" s="50"/>
      <c r="N132" s="50"/>
      <c r="O132" s="51"/>
      <c r="P132" s="51"/>
      <c r="Q132" s="51"/>
      <c r="R132" s="52"/>
      <c r="S132" s="52"/>
      <c r="T132" s="52"/>
      <c r="U132" s="52"/>
    </row>
    <row r="133" spans="1:21" ht="17.25" customHeight="1" x14ac:dyDescent="0.2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50"/>
      <c r="L133" s="50"/>
      <c r="M133" s="50"/>
      <c r="N133" s="50"/>
      <c r="O133" s="51"/>
      <c r="P133" s="51"/>
      <c r="Q133" s="51"/>
      <c r="R133" s="52"/>
      <c r="S133" s="52"/>
      <c r="T133" s="52"/>
      <c r="U133" s="52"/>
    </row>
    <row r="134" spans="1:21" ht="17.25" customHeight="1" x14ac:dyDescent="0.2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50"/>
      <c r="L134" s="50"/>
      <c r="M134" s="50"/>
      <c r="N134" s="50"/>
      <c r="O134" s="51"/>
      <c r="P134" s="51"/>
      <c r="Q134" s="51"/>
      <c r="R134" s="52"/>
      <c r="S134" s="52"/>
      <c r="T134" s="52"/>
      <c r="U134" s="52"/>
    </row>
    <row r="135" spans="1:21" ht="17.25" customHeight="1" x14ac:dyDescent="0.2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50"/>
      <c r="L135" s="50"/>
      <c r="M135" s="50"/>
      <c r="N135" s="50"/>
      <c r="O135" s="51"/>
      <c r="P135" s="51"/>
      <c r="Q135" s="51"/>
      <c r="R135" s="52"/>
      <c r="S135" s="52"/>
      <c r="T135" s="52"/>
      <c r="U135" s="52"/>
    </row>
    <row r="136" spans="1:21" ht="17.25" customHeight="1" x14ac:dyDescent="0.2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50"/>
      <c r="L136" s="50"/>
      <c r="M136" s="50"/>
      <c r="N136" s="50"/>
      <c r="O136" s="51"/>
      <c r="P136" s="51"/>
      <c r="Q136" s="51"/>
      <c r="R136" s="52"/>
      <c r="S136" s="52"/>
      <c r="T136" s="52"/>
      <c r="U136" s="52"/>
    </row>
    <row r="137" spans="1:21" ht="17.25" customHeight="1" x14ac:dyDescent="0.2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50"/>
      <c r="L137" s="50"/>
      <c r="M137" s="50"/>
      <c r="N137" s="50"/>
      <c r="O137" s="51"/>
      <c r="P137" s="51"/>
      <c r="Q137" s="51"/>
      <c r="R137" s="52"/>
      <c r="S137" s="52"/>
      <c r="T137" s="52"/>
      <c r="U137" s="52"/>
    </row>
    <row r="138" spans="1:21" ht="17.25" customHeight="1" x14ac:dyDescent="0.2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50"/>
      <c r="L138" s="50"/>
      <c r="M138" s="50"/>
      <c r="N138" s="50"/>
      <c r="O138" s="51"/>
      <c r="P138" s="51"/>
      <c r="Q138" s="51"/>
      <c r="R138" s="52"/>
      <c r="S138" s="52"/>
      <c r="T138" s="52"/>
      <c r="U138" s="52"/>
    </row>
    <row r="139" spans="1:21" ht="17.25" customHeight="1" x14ac:dyDescent="0.2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50"/>
      <c r="L139" s="50"/>
      <c r="M139" s="50"/>
      <c r="N139" s="50"/>
      <c r="O139" s="51"/>
      <c r="P139" s="51"/>
      <c r="Q139" s="51"/>
      <c r="R139" s="52"/>
      <c r="S139" s="52"/>
      <c r="T139" s="52"/>
      <c r="U139" s="52"/>
    </row>
    <row r="140" spans="1:21" ht="17.25" customHeight="1" x14ac:dyDescent="0.2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50"/>
      <c r="L140" s="50"/>
      <c r="M140" s="50"/>
      <c r="N140" s="50"/>
      <c r="O140" s="51"/>
      <c r="P140" s="51"/>
      <c r="Q140" s="51"/>
      <c r="R140" s="52"/>
      <c r="S140" s="52"/>
      <c r="T140" s="52"/>
      <c r="U140" s="52"/>
    </row>
    <row r="141" spans="1:21" ht="17.25" customHeight="1" x14ac:dyDescent="0.2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50"/>
      <c r="L141" s="50"/>
      <c r="M141" s="50"/>
      <c r="N141" s="50"/>
      <c r="O141" s="51"/>
      <c r="P141" s="51"/>
      <c r="Q141" s="51"/>
      <c r="R141" s="52"/>
      <c r="S141" s="52"/>
      <c r="T141" s="52"/>
      <c r="U141" s="52"/>
    </row>
    <row r="142" spans="1:21" ht="17.25" customHeight="1" x14ac:dyDescent="0.2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50"/>
      <c r="L142" s="50"/>
      <c r="M142" s="50"/>
      <c r="N142" s="50"/>
      <c r="O142" s="51"/>
      <c r="P142" s="51"/>
      <c r="Q142" s="51"/>
      <c r="R142" s="52"/>
      <c r="S142" s="52"/>
      <c r="T142" s="52"/>
      <c r="U142" s="52"/>
    </row>
    <row r="143" spans="1:21" ht="17.25" customHeight="1" x14ac:dyDescent="0.2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50"/>
      <c r="L143" s="50"/>
      <c r="M143" s="50"/>
      <c r="N143" s="50"/>
      <c r="O143" s="51"/>
      <c r="P143" s="51"/>
      <c r="Q143" s="51"/>
      <c r="R143" s="52"/>
      <c r="S143" s="52"/>
      <c r="T143" s="52"/>
      <c r="U143" s="52"/>
    </row>
    <row r="146" spans="1:21" ht="23.25" customHeight="1" x14ac:dyDescent="0.25">
      <c r="A146" s="144" t="s">
        <v>67</v>
      </c>
      <c r="B146" s="154"/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</row>
    <row r="147" spans="1:21" ht="26.25" customHeight="1" x14ac:dyDescent="0.25">
      <c r="A147" s="144" t="s">
        <v>27</v>
      </c>
      <c r="B147" s="144" t="s">
        <v>26</v>
      </c>
      <c r="C147" s="144"/>
      <c r="D147" s="144"/>
      <c r="E147" s="144"/>
      <c r="F147" s="144"/>
      <c r="G147" s="144"/>
      <c r="H147" s="144"/>
      <c r="I147" s="144"/>
      <c r="J147" s="94" t="s">
        <v>40</v>
      </c>
      <c r="K147" s="94" t="s">
        <v>24</v>
      </c>
      <c r="L147" s="94"/>
      <c r="M147" s="94"/>
      <c r="N147" s="94"/>
      <c r="O147" s="94" t="s">
        <v>41</v>
      </c>
      <c r="P147" s="94"/>
      <c r="Q147" s="94"/>
      <c r="R147" s="94" t="s">
        <v>23</v>
      </c>
      <c r="S147" s="94"/>
      <c r="T147" s="94"/>
      <c r="U147" s="94" t="s">
        <v>22</v>
      </c>
    </row>
    <row r="148" spans="1:21" x14ac:dyDescent="0.25">
      <c r="A148" s="144"/>
      <c r="B148" s="144"/>
      <c r="C148" s="144"/>
      <c r="D148" s="144"/>
      <c r="E148" s="144"/>
      <c r="F148" s="144"/>
      <c r="G148" s="144"/>
      <c r="H148" s="144"/>
      <c r="I148" s="144"/>
      <c r="J148" s="94"/>
      <c r="K148" s="26" t="s">
        <v>28</v>
      </c>
      <c r="L148" s="26" t="s">
        <v>29</v>
      </c>
      <c r="M148" s="26" t="s">
        <v>109</v>
      </c>
      <c r="N148" s="26" t="s">
        <v>110</v>
      </c>
      <c r="O148" s="26" t="s">
        <v>34</v>
      </c>
      <c r="P148" s="26" t="s">
        <v>7</v>
      </c>
      <c r="Q148" s="26" t="s">
        <v>31</v>
      </c>
      <c r="R148" s="26" t="s">
        <v>32</v>
      </c>
      <c r="S148" s="26" t="s">
        <v>28</v>
      </c>
      <c r="T148" s="26" t="s">
        <v>33</v>
      </c>
      <c r="U148" s="94"/>
    </row>
    <row r="149" spans="1:21" ht="18.75" customHeight="1" x14ac:dyDescent="0.25">
      <c r="A149" s="95" t="s">
        <v>62</v>
      </c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7"/>
    </row>
    <row r="150" spans="1:21" x14ac:dyDescent="0.25">
      <c r="A150" s="27" t="str">
        <f>IF(ISNA(INDEX($A$37:$U$88,MATCH($B150,$B$37:$B$88,0),1)),"",INDEX($A$37:$U$88,MATCH($B150,$B$37:$B$88,0),1))</f>
        <v>MMR3046</v>
      </c>
      <c r="B150" s="133" t="s">
        <v>112</v>
      </c>
      <c r="C150" s="133"/>
      <c r="D150" s="133"/>
      <c r="E150" s="133"/>
      <c r="F150" s="133"/>
      <c r="G150" s="133"/>
      <c r="H150" s="133"/>
      <c r="I150" s="133"/>
      <c r="J150" s="17">
        <f>IF(ISNA(INDEX($A$37:$U$88,MATCH($B150,$B$37:$B$88,0),10)),"",INDEX($A$37:$U$88,MATCH($B150,$B$37:$B$88,0),10))</f>
        <v>7</v>
      </c>
      <c r="K150" s="17">
        <f>IF(ISNA(INDEX($A$37:$U$88,MATCH($B150,$B$37:$B$88,0),11)),"",INDEX($A$37:$U$88,MATCH($B150,$B$37:$B$88,0),11))</f>
        <v>2</v>
      </c>
      <c r="L150" s="17">
        <f>IF(ISNA(INDEX($A$37:$U$88,MATCH($B150,$B$37:$B$88,0),12)),"",INDEX($A$37:$U$88,MATCH($B150,$B$37:$B$88,0),12))</f>
        <v>1</v>
      </c>
      <c r="M150" s="17">
        <f>IF(ISNA(INDEX($A$37:$U$88,MATCH($B150,$B$37:$B$88,0),13)),"",INDEX($A$37:$U$88,MATCH($B150,$B$37:$B$88,0),13))</f>
        <v>0</v>
      </c>
      <c r="N150" s="17">
        <f>IF(ISNA(INDEX($A$37:$U$88,MATCH($B150,$B$37:$B$88,0),14)),"",INDEX($A$37:$U$88,MATCH($B150,$B$37:$B$88,0),14))</f>
        <v>1</v>
      </c>
      <c r="O150" s="17">
        <f>IF(ISNA(INDEX($A$37:$U$88,MATCH($B150,$B$37:$B$88,0),15)),"",INDEX($A$37:$U$88,MATCH($B150,$B$37:$B$88,0),15))</f>
        <v>4</v>
      </c>
      <c r="P150" s="17">
        <f>IF(ISNA(INDEX($A$37:$U$88,MATCH($B150,$B$37:$B$88,0),16)),"",INDEX($A$37:$U$88,MATCH($B150,$B$37:$B$88,0),16))</f>
        <v>9</v>
      </c>
      <c r="Q150" s="25">
        <f>IF(ISNA(INDEX($A$37:$U$88,MATCH($B150,$B$37:$B$88,0),17)),"",INDEX($A$37:$U$88,MATCH($B150,$B$37:$B$88,0),17))</f>
        <v>13</v>
      </c>
      <c r="R150" s="25" t="str">
        <f>IF(ISNA(INDEX($A$37:$U$88,MATCH($B150,$B$37:$B$88,0),18)),"",INDEX($A$37:$U$88,MATCH($B150,$B$37:$B$88,0),18))</f>
        <v>E</v>
      </c>
      <c r="S150" s="25">
        <f>IF(ISNA(INDEX($A$37:$U$88,MATCH($B150,$B$37:$B$88,0),19)),"",INDEX($A$37:$U$88,MATCH($B150,$B$37:$B$88,0),19))</f>
        <v>0</v>
      </c>
      <c r="T150" s="25">
        <f>IF(ISNA(INDEX($A$37:$U$88,MATCH($B150,$B$37:$B$88,0),20)),"",INDEX($A$37:$U$88,MATCH($B150,$B$37:$B$88,0),20))</f>
        <v>0</v>
      </c>
      <c r="U150" s="16" t="s">
        <v>39</v>
      </c>
    </row>
    <row r="151" spans="1:21" x14ac:dyDescent="0.25">
      <c r="A151" s="27" t="str">
        <f>IF(ISNA(INDEX($A$37:$U$88,MATCH($B151,$B$37:$B$88,0),1)),"",INDEX($A$37:$U$88,MATCH($B151,$B$37:$B$88,0),1))</f>
        <v>MMR3034</v>
      </c>
      <c r="B151" s="133" t="s">
        <v>114</v>
      </c>
      <c r="C151" s="133"/>
      <c r="D151" s="133"/>
      <c r="E151" s="133"/>
      <c r="F151" s="133"/>
      <c r="G151" s="133"/>
      <c r="H151" s="133"/>
      <c r="I151" s="133"/>
      <c r="J151" s="17">
        <f>IF(ISNA(INDEX($A$37:$U$88,MATCH($B151,$B$37:$B$88,0),10)),"",INDEX($A$37:$U$88,MATCH($B151,$B$37:$B$88,0),10))</f>
        <v>7</v>
      </c>
      <c r="K151" s="17">
        <f>IF(ISNA(INDEX($A$37:$U$88,MATCH($B151,$B$37:$B$88,0),11)),"",INDEX($A$37:$U$88,MATCH($B151,$B$37:$B$88,0),11))</f>
        <v>2</v>
      </c>
      <c r="L151" s="17">
        <f>IF(ISNA(INDEX($A$37:$U$88,MATCH($B151,$B$37:$B$88,0),12)),"",INDEX($A$37:$U$88,MATCH($B151,$B$37:$B$88,0),12))</f>
        <v>1</v>
      </c>
      <c r="M151" s="17">
        <f>IF(ISNA(INDEX($A$37:$U$88,MATCH($B151,$B$37:$B$88,0),13)),"",INDEX($A$37:$U$88,MATCH($B151,$B$37:$B$88,0),13))</f>
        <v>0</v>
      </c>
      <c r="N151" s="17">
        <f>IF(ISNA(INDEX($A$37:$U$88,MATCH($B151,$B$37:$B$88,0),14)),"",INDEX($A$37:$U$88,MATCH($B151,$B$37:$B$88,0),14))</f>
        <v>1</v>
      </c>
      <c r="O151" s="17">
        <f>IF(ISNA(INDEX($A$37:$U$88,MATCH($B151,$B$37:$B$88,0),15)),"",INDEX($A$37:$U$88,MATCH($B151,$B$37:$B$88,0),15))</f>
        <v>4</v>
      </c>
      <c r="P151" s="17">
        <f>IF(ISNA(INDEX($A$37:$U$88,MATCH($B151,$B$37:$B$88,0),16)),"",INDEX($A$37:$U$88,MATCH($B151,$B$37:$B$88,0),16))</f>
        <v>9</v>
      </c>
      <c r="Q151" s="25">
        <f>IF(ISNA(INDEX($A$37:$U$88,MATCH($B151,$B$37:$B$88,0),17)),"",INDEX($A$37:$U$88,MATCH($B151,$B$37:$B$88,0),17))</f>
        <v>13</v>
      </c>
      <c r="R151" s="25">
        <f>IF(ISNA(INDEX($A$37:$U$88,MATCH($B151,$B$37:$B$88,0),18)),"",INDEX($A$37:$U$88,MATCH($B151,$B$37:$B$88,0),18))</f>
        <v>0</v>
      </c>
      <c r="S151" s="25" t="str">
        <f>IF(ISNA(INDEX($A$37:$U$88,MATCH($B151,$B$37:$B$88,0),19)),"",INDEX($A$37:$U$88,MATCH($B151,$B$37:$B$88,0),19))</f>
        <v>C</v>
      </c>
      <c r="T151" s="25">
        <f>IF(ISNA(INDEX($A$37:$U$88,MATCH($B151,$B$37:$B$88,0),20)),"",INDEX($A$37:$U$88,MATCH($B151,$B$37:$B$88,0),20))</f>
        <v>0</v>
      </c>
      <c r="U151" s="16" t="s">
        <v>39</v>
      </c>
    </row>
    <row r="152" spans="1:21" x14ac:dyDescent="0.25">
      <c r="A152" s="27" t="str">
        <f>IF(ISNA(INDEX($A$37:$U$88,MATCH($B152,$B$37:$B$88,0),1)),"",INDEX($A$37:$U$88,MATCH($B152,$B$37:$B$88,0),1))</f>
        <v>MMR3008</v>
      </c>
      <c r="B152" s="133" t="s">
        <v>116</v>
      </c>
      <c r="C152" s="133"/>
      <c r="D152" s="133"/>
      <c r="E152" s="133"/>
      <c r="F152" s="133"/>
      <c r="G152" s="133"/>
      <c r="H152" s="133"/>
      <c r="I152" s="133"/>
      <c r="J152" s="17">
        <f>IF(ISNA(INDEX($A$37:$U$88,MATCH($B152,$B$37:$B$88,0),10)),"",INDEX($A$37:$U$88,MATCH($B152,$B$37:$B$88,0),10))</f>
        <v>7</v>
      </c>
      <c r="K152" s="17">
        <f>IF(ISNA(INDEX($A$37:$U$88,MATCH($B152,$B$37:$B$88,0),11)),"",INDEX($A$37:$U$88,MATCH($B152,$B$37:$B$88,0),11))</f>
        <v>2</v>
      </c>
      <c r="L152" s="17">
        <f>IF(ISNA(INDEX($A$37:$U$88,MATCH($B152,$B$37:$B$88,0),12)),"",INDEX($A$37:$U$88,MATCH($B152,$B$37:$B$88,0),12))</f>
        <v>1</v>
      </c>
      <c r="M152" s="17">
        <f>IF(ISNA(INDEX($A$37:$U$88,MATCH($B152,$B$37:$B$88,0),13)),"",INDEX($A$37:$U$88,MATCH($B152,$B$37:$B$88,0),13))</f>
        <v>0</v>
      </c>
      <c r="N152" s="17">
        <f>IF(ISNA(INDEX($A$37:$U$88,MATCH($B152,$B$37:$B$88,0),14)),"",INDEX($A$37:$U$88,MATCH($B152,$B$37:$B$88,0),14))</f>
        <v>1</v>
      </c>
      <c r="O152" s="17">
        <f>IF(ISNA(INDEX($A$37:$U$88,MATCH($B152,$B$37:$B$88,0),15)),"",INDEX($A$37:$U$88,MATCH($B152,$B$37:$B$88,0),15))</f>
        <v>4</v>
      </c>
      <c r="P152" s="17">
        <f>IF(ISNA(INDEX($A$37:$U$88,MATCH($B152,$B$37:$B$88,0),16)),"",INDEX($A$37:$U$88,MATCH($B152,$B$37:$B$88,0),16))</f>
        <v>9</v>
      </c>
      <c r="Q152" s="25">
        <f>IF(ISNA(INDEX($A$37:$U$88,MATCH($B152,$B$37:$B$88,0),17)),"",INDEX($A$37:$U$88,MATCH($B152,$B$37:$B$88,0),17))</f>
        <v>13</v>
      </c>
      <c r="R152" s="25" t="str">
        <f>IF(ISNA(INDEX($A$37:$U$88,MATCH($B152,$B$37:$B$88,0),18)),"",INDEX($A$37:$U$88,MATCH($B152,$B$37:$B$88,0),18))</f>
        <v>E</v>
      </c>
      <c r="S152" s="25">
        <f>IF(ISNA(INDEX($A$37:$U$88,MATCH($B152,$B$37:$B$88,0),19)),"",INDEX($A$37:$U$88,MATCH($B152,$B$37:$B$88,0),19))</f>
        <v>0</v>
      </c>
      <c r="T152" s="25">
        <f>IF(ISNA(INDEX($A$37:$U$88,MATCH($B152,$B$37:$B$88,0),20)),"",INDEX($A$37:$U$88,MATCH($B152,$B$37:$B$88,0),20))</f>
        <v>0</v>
      </c>
      <c r="U152" s="16" t="s">
        <v>39</v>
      </c>
    </row>
    <row r="153" spans="1:21" x14ac:dyDescent="0.25">
      <c r="A153" s="18" t="s">
        <v>25</v>
      </c>
      <c r="B153" s="134"/>
      <c r="C153" s="135"/>
      <c r="D153" s="135"/>
      <c r="E153" s="135"/>
      <c r="F153" s="135"/>
      <c r="G153" s="135"/>
      <c r="H153" s="135"/>
      <c r="I153" s="136"/>
      <c r="J153" s="20">
        <f t="shared" ref="J153:Q153" si="30">SUM(J150:J152)</f>
        <v>21</v>
      </c>
      <c r="K153" s="20">
        <f t="shared" si="30"/>
        <v>6</v>
      </c>
      <c r="L153" s="20">
        <f t="shared" si="30"/>
        <v>3</v>
      </c>
      <c r="M153" s="20">
        <f t="shared" si="30"/>
        <v>0</v>
      </c>
      <c r="N153" s="20">
        <f t="shared" si="30"/>
        <v>3</v>
      </c>
      <c r="O153" s="20">
        <f t="shared" si="30"/>
        <v>12</v>
      </c>
      <c r="P153" s="20">
        <f t="shared" si="30"/>
        <v>27</v>
      </c>
      <c r="Q153" s="20">
        <f t="shared" si="30"/>
        <v>39</v>
      </c>
      <c r="R153" s="18">
        <f>COUNTIF(R150:R152,"E")</f>
        <v>2</v>
      </c>
      <c r="S153" s="18">
        <f>COUNTIF(S150:S152,"C")</f>
        <v>1</v>
      </c>
      <c r="T153" s="18">
        <f>COUNTIF(T150:T152,"VP")</f>
        <v>0</v>
      </c>
      <c r="U153" s="16"/>
    </row>
    <row r="154" spans="1:21" ht="18" customHeight="1" x14ac:dyDescent="0.25">
      <c r="A154" s="95" t="s">
        <v>64</v>
      </c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7"/>
    </row>
    <row r="155" spans="1:21" x14ac:dyDescent="0.25">
      <c r="A155" s="27" t="str">
        <f>IF(ISNA(INDEX($A$37:$U$88,MATCH($B155,$B$37:$B$88,0),1)),"",INDEX($A$37:$U$88,MATCH($B155,$B$37:$B$88,0),1))</f>
        <v>MMR7002</v>
      </c>
      <c r="B155" s="133" t="s">
        <v>159</v>
      </c>
      <c r="C155" s="133"/>
      <c r="D155" s="133"/>
      <c r="E155" s="133"/>
      <c r="F155" s="133"/>
      <c r="G155" s="133"/>
      <c r="H155" s="133"/>
      <c r="I155" s="133"/>
      <c r="J155" s="17">
        <f>IF(ISNA(INDEX($A$37:$U$88,MATCH($B155,$B$37:$B$88,0),10)),"",INDEX($A$37:$U$88,MATCH($B155,$B$37:$B$88,0),10))</f>
        <v>4</v>
      </c>
      <c r="K155" s="17">
        <f>IF(ISNA(INDEX($A$37:$U$88,MATCH($B155,$B$37:$B$88,0),11)),"",INDEX($A$37:$U$88,MATCH($B155,$B$37:$B$88,0),11))</f>
        <v>0</v>
      </c>
      <c r="L155" s="17">
        <f>IF(ISNA(INDEX($A$37:$U$88,MATCH($B155,$B$37:$B$88,0),12)),"",INDEX($A$37:$U$88,MATCH($B155,$B$37:$B$88,0),12))</f>
        <v>0</v>
      </c>
      <c r="M155" s="17">
        <f>IF(ISNA(INDEX($A$37:$U$88,MATCH($B155,$B$37:$B$88,0),13)),"",INDEX($A$37:$U$88,MATCH($B155,$B$37:$B$88,0),13))</f>
        <v>1</v>
      </c>
      <c r="N155" s="17">
        <f>IF(ISNA(INDEX($A$37:$U$88,MATCH($B155,$B$37:$B$88,0),14)),"",INDEX($A$37:$U$88,MATCH($B155,$B$37:$B$88,0),14))</f>
        <v>4</v>
      </c>
      <c r="O155" s="17">
        <f>IF(ISNA(INDEX($A$37:$U$88,MATCH($B155,$B$37:$B$88,0),15)),"",INDEX($A$37:$U$88,MATCH($B155,$B$37:$B$88,0),15))</f>
        <v>5</v>
      </c>
      <c r="P155" s="17">
        <f>IF(ISNA(INDEX($A$37:$U$88,MATCH($B155,$B$37:$B$88,0),16)),"",INDEX($A$37:$U$88,MATCH($B155,$B$37:$B$88,0),16))</f>
        <v>3</v>
      </c>
      <c r="Q155" s="25">
        <f>IF(ISNA(INDEX($A$37:$U$88,MATCH($B155,$B$37:$B$88,0),17)),"",INDEX($A$37:$U$88,MATCH($B155,$B$37:$B$88,0),17))</f>
        <v>8</v>
      </c>
      <c r="R155" s="25">
        <f>IF(ISNA(INDEX($A$37:$U$88,MATCH($B155,$B$37:$B$88,0),18)),"",INDEX($A$37:$U$88,MATCH($B155,$B$37:$B$88,0),18))</f>
        <v>0</v>
      </c>
      <c r="S155" s="25" t="str">
        <f>IF(ISNA(INDEX($A$37:$U$88,MATCH($B155,$B$37:$B$88,0),19)),"",INDEX($A$37:$U$88,MATCH($B155,$B$37:$B$88,0),19))</f>
        <v>C</v>
      </c>
      <c r="T155" s="25">
        <f>IF(ISNA(INDEX($A$37:$U$88,MATCH($B155,$B$37:$B$88,0),20)),"",INDEX($A$37:$U$88,MATCH($B155,$B$37:$B$88,0),20))</f>
        <v>0</v>
      </c>
      <c r="U155" s="16" t="s">
        <v>39</v>
      </c>
    </row>
    <row r="156" spans="1:21" x14ac:dyDescent="0.25">
      <c r="A156" s="18" t="s">
        <v>25</v>
      </c>
      <c r="B156" s="144"/>
      <c r="C156" s="144"/>
      <c r="D156" s="144"/>
      <c r="E156" s="144"/>
      <c r="F156" s="144"/>
      <c r="G156" s="144"/>
      <c r="H156" s="144"/>
      <c r="I156" s="144"/>
      <c r="J156" s="20">
        <f t="shared" ref="J156:Q156" si="31">SUM(J155:J155)</f>
        <v>4</v>
      </c>
      <c r="K156" s="20">
        <f t="shared" si="31"/>
        <v>0</v>
      </c>
      <c r="L156" s="20">
        <f t="shared" si="31"/>
        <v>0</v>
      </c>
      <c r="M156" s="20">
        <f t="shared" si="31"/>
        <v>1</v>
      </c>
      <c r="N156" s="20">
        <f t="shared" si="31"/>
        <v>4</v>
      </c>
      <c r="O156" s="20">
        <f t="shared" si="31"/>
        <v>5</v>
      </c>
      <c r="P156" s="20">
        <f t="shared" si="31"/>
        <v>3</v>
      </c>
      <c r="Q156" s="20">
        <f t="shared" si="31"/>
        <v>8</v>
      </c>
      <c r="R156" s="18">
        <f>COUNTIF(R155:R155,"E")</f>
        <v>0</v>
      </c>
      <c r="S156" s="18">
        <f>COUNTIF(S155:S155,"C")</f>
        <v>1</v>
      </c>
      <c r="T156" s="18">
        <f>COUNTIF(T155:T155,"VP")</f>
        <v>0</v>
      </c>
      <c r="U156" s="19"/>
    </row>
    <row r="157" spans="1:21" ht="25.5" customHeight="1" x14ac:dyDescent="0.25">
      <c r="A157" s="145" t="s">
        <v>73</v>
      </c>
      <c r="B157" s="146"/>
      <c r="C157" s="146"/>
      <c r="D157" s="146"/>
      <c r="E157" s="146"/>
      <c r="F157" s="146"/>
      <c r="G157" s="146"/>
      <c r="H157" s="146"/>
      <c r="I157" s="147"/>
      <c r="J157" s="20">
        <f t="shared" ref="J157:T157" si="32">SUM(J153,J156)</f>
        <v>25</v>
      </c>
      <c r="K157" s="20">
        <f t="shared" si="32"/>
        <v>6</v>
      </c>
      <c r="L157" s="20">
        <f t="shared" si="32"/>
        <v>3</v>
      </c>
      <c r="M157" s="20">
        <f t="shared" si="32"/>
        <v>1</v>
      </c>
      <c r="N157" s="20">
        <f t="shared" si="32"/>
        <v>7</v>
      </c>
      <c r="O157" s="20">
        <f t="shared" si="32"/>
        <v>17</v>
      </c>
      <c r="P157" s="20">
        <f t="shared" si="32"/>
        <v>30</v>
      </c>
      <c r="Q157" s="20">
        <f t="shared" si="32"/>
        <v>47</v>
      </c>
      <c r="R157" s="20">
        <f t="shared" si="32"/>
        <v>2</v>
      </c>
      <c r="S157" s="20">
        <f t="shared" si="32"/>
        <v>2</v>
      </c>
      <c r="T157" s="20">
        <f t="shared" si="32"/>
        <v>0</v>
      </c>
      <c r="U157" s="45">
        <f>COUNTA(U150:U152,U155)/(U44+U56+U65+U74)</f>
        <v>0.25</v>
      </c>
    </row>
    <row r="158" spans="1:21" ht="13.5" customHeight="1" x14ac:dyDescent="0.25">
      <c r="A158" s="127" t="s">
        <v>48</v>
      </c>
      <c r="B158" s="128"/>
      <c r="C158" s="128"/>
      <c r="D158" s="128"/>
      <c r="E158" s="128"/>
      <c r="F158" s="128"/>
      <c r="G158" s="128"/>
      <c r="H158" s="128"/>
      <c r="I158" s="128"/>
      <c r="J158" s="129"/>
      <c r="K158" s="20">
        <f t="shared" ref="K158:Q158" si="33">K153*14+K156*12</f>
        <v>84</v>
      </c>
      <c r="L158" s="20">
        <f t="shared" si="33"/>
        <v>42</v>
      </c>
      <c r="M158" s="20">
        <f t="shared" si="33"/>
        <v>12</v>
      </c>
      <c r="N158" s="20">
        <f t="shared" si="33"/>
        <v>90</v>
      </c>
      <c r="O158" s="20">
        <f t="shared" si="33"/>
        <v>228</v>
      </c>
      <c r="P158" s="20">
        <f t="shared" si="33"/>
        <v>414</v>
      </c>
      <c r="Q158" s="20">
        <f t="shared" si="33"/>
        <v>642</v>
      </c>
      <c r="R158" s="137"/>
      <c r="S158" s="138"/>
      <c r="T158" s="138"/>
      <c r="U158" s="139"/>
    </row>
    <row r="159" spans="1:21" ht="16.5" customHeight="1" x14ac:dyDescent="0.25">
      <c r="A159" s="130"/>
      <c r="B159" s="131"/>
      <c r="C159" s="131"/>
      <c r="D159" s="131"/>
      <c r="E159" s="131"/>
      <c r="F159" s="131"/>
      <c r="G159" s="131"/>
      <c r="H159" s="131"/>
      <c r="I159" s="131"/>
      <c r="J159" s="132"/>
      <c r="K159" s="148">
        <f>SUM(K158:N158)</f>
        <v>228</v>
      </c>
      <c r="L159" s="149"/>
      <c r="M159" s="149"/>
      <c r="N159" s="150"/>
      <c r="O159" s="151">
        <f>SUM(O158:P158)</f>
        <v>642</v>
      </c>
      <c r="P159" s="152"/>
      <c r="Q159" s="153"/>
      <c r="R159" s="140"/>
      <c r="S159" s="141"/>
      <c r="T159" s="141"/>
      <c r="U159" s="142"/>
    </row>
    <row r="160" spans="1:21" ht="8.25" customHeight="1" x14ac:dyDescent="0.25"/>
    <row r="161" spans="1:25" x14ac:dyDescent="0.25">
      <c r="A161" s="143" t="s">
        <v>59</v>
      </c>
      <c r="B161" s="143"/>
    </row>
    <row r="162" spans="1:25" x14ac:dyDescent="0.25">
      <c r="A162" s="119" t="s">
        <v>27</v>
      </c>
      <c r="B162" s="121" t="s">
        <v>51</v>
      </c>
      <c r="C162" s="122"/>
      <c r="D162" s="122"/>
      <c r="E162" s="122"/>
      <c r="F162" s="122"/>
      <c r="G162" s="123"/>
      <c r="H162" s="121" t="s">
        <v>54</v>
      </c>
      <c r="I162" s="123"/>
      <c r="J162" s="91" t="s">
        <v>55</v>
      </c>
      <c r="K162" s="92"/>
      <c r="L162" s="92"/>
      <c r="M162" s="92"/>
      <c r="N162" s="92"/>
      <c r="O162" s="92"/>
      <c r="P162" s="93"/>
      <c r="Q162" s="121" t="s">
        <v>47</v>
      </c>
      <c r="R162" s="123"/>
      <c r="S162" s="91" t="s">
        <v>56</v>
      </c>
      <c r="T162" s="92"/>
      <c r="U162" s="93"/>
      <c r="V162" s="43"/>
    </row>
    <row r="163" spans="1:25" x14ac:dyDescent="0.25">
      <c r="A163" s="120"/>
      <c r="B163" s="124"/>
      <c r="C163" s="125"/>
      <c r="D163" s="125"/>
      <c r="E163" s="125"/>
      <c r="F163" s="125"/>
      <c r="G163" s="126"/>
      <c r="H163" s="124"/>
      <c r="I163" s="126"/>
      <c r="J163" s="91" t="s">
        <v>34</v>
      </c>
      <c r="K163" s="93"/>
      <c r="L163" s="91" t="s">
        <v>7</v>
      </c>
      <c r="M163" s="92"/>
      <c r="N163" s="93"/>
      <c r="O163" s="91" t="s">
        <v>31</v>
      </c>
      <c r="P163" s="93"/>
      <c r="Q163" s="124"/>
      <c r="R163" s="126"/>
      <c r="S163" s="30" t="s">
        <v>57</v>
      </c>
      <c r="T163" s="91" t="s">
        <v>58</v>
      </c>
      <c r="U163" s="93"/>
    </row>
    <row r="164" spans="1:25" x14ac:dyDescent="0.25">
      <c r="A164" s="30">
        <v>1</v>
      </c>
      <c r="B164" s="91" t="s">
        <v>52</v>
      </c>
      <c r="C164" s="92"/>
      <c r="D164" s="92"/>
      <c r="E164" s="92"/>
      <c r="F164" s="92"/>
      <c r="G164" s="93"/>
      <c r="H164" s="102">
        <f>J164</f>
        <v>820</v>
      </c>
      <c r="I164" s="102"/>
      <c r="J164" s="103">
        <f>SUM((O44+O56+O65)*14+(O74*12)-J165)</f>
        <v>820</v>
      </c>
      <c r="K164" s="104"/>
      <c r="L164" s="103">
        <f>SUM((P44+P56+P65)*14+(P74*12)-L165)</f>
        <v>1748</v>
      </c>
      <c r="M164" s="105"/>
      <c r="N164" s="104"/>
      <c r="O164" s="106">
        <f>SUM(J164:N164)</f>
        <v>2568</v>
      </c>
      <c r="P164" s="107"/>
      <c r="Q164" s="108">
        <f>H164/H166</f>
        <v>0.89519650655021832</v>
      </c>
      <c r="R164" s="109"/>
      <c r="S164" s="31">
        <f>J44+J56-S165</f>
        <v>60</v>
      </c>
      <c r="T164" s="110">
        <f>J65+J74-T165</f>
        <v>42</v>
      </c>
      <c r="U164" s="111"/>
      <c r="V164" s="43" t="s">
        <v>156</v>
      </c>
    </row>
    <row r="165" spans="1:25" x14ac:dyDescent="0.25">
      <c r="A165" s="30">
        <v>2</v>
      </c>
      <c r="B165" s="91" t="s">
        <v>53</v>
      </c>
      <c r="C165" s="92"/>
      <c r="D165" s="92"/>
      <c r="E165" s="92"/>
      <c r="F165" s="92"/>
      <c r="G165" s="93"/>
      <c r="H165" s="102">
        <f>J165</f>
        <v>96</v>
      </c>
      <c r="I165" s="102"/>
      <c r="J165" s="112">
        <f>O86</f>
        <v>96</v>
      </c>
      <c r="K165" s="113"/>
      <c r="L165" s="112">
        <f>P86</f>
        <v>360</v>
      </c>
      <c r="M165" s="70"/>
      <c r="N165" s="113"/>
      <c r="O165" s="114">
        <f>SUM(J165:N165)</f>
        <v>456</v>
      </c>
      <c r="P165" s="107"/>
      <c r="Q165" s="115">
        <f>H165/H166</f>
        <v>0.10480349344978165</v>
      </c>
      <c r="R165" s="116"/>
      <c r="S165" s="46">
        <v>0</v>
      </c>
      <c r="T165" s="117">
        <v>18</v>
      </c>
      <c r="U165" s="118"/>
      <c r="V165" s="211" t="str">
        <f>IF(O165=Q86,"Corect","Nu corespunde cu tabelul de opționale")</f>
        <v>Corect</v>
      </c>
      <c r="W165" s="212"/>
      <c r="X165" s="212"/>
      <c r="Y165" s="212"/>
    </row>
    <row r="166" spans="1:25" x14ac:dyDescent="0.25">
      <c r="A166" s="91" t="s">
        <v>25</v>
      </c>
      <c r="B166" s="92"/>
      <c r="C166" s="92"/>
      <c r="D166" s="92"/>
      <c r="E166" s="92"/>
      <c r="F166" s="92"/>
      <c r="G166" s="93"/>
      <c r="H166" s="94">
        <f>SUM(H164:I165)</f>
        <v>916</v>
      </c>
      <c r="I166" s="94"/>
      <c r="J166" s="94">
        <f>SUM(J164:K165)</f>
        <v>916</v>
      </c>
      <c r="K166" s="94"/>
      <c r="L166" s="95">
        <f>SUM(L164:N165)</f>
        <v>2108</v>
      </c>
      <c r="M166" s="96"/>
      <c r="N166" s="97"/>
      <c r="O166" s="95">
        <f>SUM(O164:P165)</f>
        <v>3024</v>
      </c>
      <c r="P166" s="97"/>
      <c r="Q166" s="98">
        <f>SUM(Q164:R165)</f>
        <v>1</v>
      </c>
      <c r="R166" s="99"/>
      <c r="S166" s="32">
        <f>SUM(S164:S165)</f>
        <v>60</v>
      </c>
      <c r="T166" s="100">
        <f>SUM(T164:U165)</f>
        <v>60</v>
      </c>
      <c r="U166" s="101"/>
    </row>
    <row r="167" spans="1:25" x14ac:dyDescent="0.25">
      <c r="A167" s="53"/>
      <c r="B167" s="53"/>
      <c r="C167" s="53"/>
      <c r="D167" s="53"/>
      <c r="E167" s="53"/>
      <c r="F167" s="53"/>
      <c r="G167" s="53"/>
      <c r="H167" s="54"/>
      <c r="I167" s="54"/>
      <c r="J167" s="54"/>
      <c r="K167" s="54"/>
      <c r="L167" s="48"/>
      <c r="M167" s="48"/>
      <c r="N167" s="48"/>
      <c r="O167" s="48"/>
      <c r="P167" s="48"/>
      <c r="Q167" s="55"/>
      <c r="R167" s="55"/>
      <c r="S167" s="56"/>
      <c r="T167" s="56"/>
      <c r="U167" s="56"/>
    </row>
    <row r="168" spans="1:25" x14ac:dyDescent="0.25">
      <c r="A168" s="53"/>
      <c r="B168" s="53"/>
      <c r="C168" s="53"/>
      <c r="D168" s="53"/>
      <c r="E168" s="53"/>
      <c r="F168" s="53"/>
      <c r="G168" s="53"/>
      <c r="H168" s="54"/>
      <c r="I168" s="54"/>
      <c r="J168" s="54"/>
      <c r="K168" s="54"/>
      <c r="L168" s="48"/>
      <c r="M168" s="48"/>
      <c r="N168" s="48"/>
      <c r="O168" s="48"/>
      <c r="P168" s="48"/>
      <c r="Q168" s="55"/>
      <c r="R168" s="55"/>
      <c r="S168" s="56"/>
      <c r="T168" s="56"/>
      <c r="U168" s="56"/>
    </row>
    <row r="169" spans="1:25" x14ac:dyDescent="0.25">
      <c r="A169" s="53"/>
      <c r="B169" s="53"/>
      <c r="C169" s="53"/>
      <c r="D169" s="53"/>
      <c r="E169" s="53"/>
      <c r="F169" s="53"/>
      <c r="G169" s="53"/>
      <c r="H169" s="54"/>
      <c r="I169" s="54"/>
      <c r="J169" s="54"/>
      <c r="K169" s="54"/>
      <c r="L169" s="48"/>
      <c r="M169" s="48"/>
      <c r="N169" s="48"/>
      <c r="O169" s="48"/>
      <c r="P169" s="48"/>
      <c r="Q169" s="55"/>
      <c r="R169" s="55"/>
      <c r="S169" s="56"/>
      <c r="T169" s="56"/>
      <c r="U169" s="56"/>
    </row>
    <row r="170" spans="1:25" x14ac:dyDescent="0.25">
      <c r="A170" s="53"/>
      <c r="B170" s="53"/>
      <c r="C170" s="53"/>
      <c r="D170" s="53"/>
      <c r="E170" s="53"/>
      <c r="F170" s="53"/>
      <c r="G170" s="53"/>
      <c r="H170" s="54"/>
      <c r="I170" s="54"/>
      <c r="J170" s="54"/>
      <c r="K170" s="54"/>
      <c r="L170" s="48"/>
      <c r="M170" s="48"/>
      <c r="N170" s="48"/>
      <c r="O170" s="48"/>
      <c r="P170" s="48"/>
      <c r="Q170" s="55"/>
      <c r="R170" s="55"/>
      <c r="S170" s="56"/>
      <c r="T170" s="56"/>
      <c r="U170" s="56"/>
    </row>
    <row r="171" spans="1:25" x14ac:dyDescent="0.25">
      <c r="A171" s="53"/>
      <c r="B171" s="53"/>
      <c r="C171" s="53"/>
      <c r="D171" s="53"/>
      <c r="E171" s="53"/>
      <c r="F171" s="53"/>
      <c r="G171" s="53"/>
      <c r="H171" s="54"/>
      <c r="I171" s="54"/>
      <c r="J171" s="54"/>
      <c r="K171" s="54"/>
      <c r="L171" s="48"/>
      <c r="M171" s="48"/>
      <c r="N171" s="48"/>
      <c r="O171" s="48"/>
      <c r="P171" s="48"/>
      <c r="Q171" s="55"/>
      <c r="R171" s="55"/>
      <c r="S171" s="56"/>
      <c r="T171" s="56"/>
      <c r="U171" s="56"/>
    </row>
    <row r="172" spans="1:25" x14ac:dyDescent="0.25">
      <c r="A172" s="53"/>
      <c r="B172" s="53"/>
      <c r="C172" s="53"/>
      <c r="D172" s="53"/>
      <c r="E172" s="53"/>
      <c r="F172" s="53"/>
      <c r="G172" s="53"/>
      <c r="H172" s="54"/>
      <c r="I172" s="54"/>
      <c r="J172" s="54"/>
      <c r="K172" s="54"/>
      <c r="L172" s="48"/>
      <c r="M172" s="48"/>
      <c r="N172" s="48"/>
      <c r="O172" s="48"/>
      <c r="P172" s="48"/>
      <c r="Q172" s="55"/>
      <c r="R172" s="55"/>
      <c r="S172" s="56"/>
      <c r="T172" s="56"/>
      <c r="U172" s="56"/>
    </row>
    <row r="173" spans="1:25" x14ac:dyDescent="0.25">
      <c r="A173" s="53"/>
      <c r="B173" s="53"/>
      <c r="C173" s="53"/>
      <c r="D173" s="53"/>
      <c r="E173" s="53"/>
      <c r="F173" s="53"/>
      <c r="G173" s="53"/>
      <c r="H173" s="54"/>
      <c r="I173" s="54"/>
      <c r="J173" s="54"/>
      <c r="K173" s="54"/>
      <c r="L173" s="48"/>
      <c r="M173" s="48"/>
      <c r="N173" s="48"/>
      <c r="O173" s="48"/>
      <c r="P173" s="48"/>
      <c r="Q173" s="55"/>
      <c r="R173" s="55"/>
      <c r="S173" s="56"/>
      <c r="T173" s="56"/>
      <c r="U173" s="56"/>
    </row>
    <row r="174" spans="1:25" x14ac:dyDescent="0.25">
      <c r="A174" s="53"/>
      <c r="B174" s="53"/>
      <c r="C174" s="53"/>
      <c r="D174" s="53"/>
      <c r="E174" s="53"/>
      <c r="F174" s="53"/>
      <c r="G174" s="53"/>
      <c r="H174" s="54"/>
      <c r="I174" s="54"/>
      <c r="J174" s="54"/>
      <c r="K174" s="54"/>
      <c r="L174" s="48"/>
      <c r="M174" s="48"/>
      <c r="N174" s="48"/>
      <c r="O174" s="48"/>
      <c r="P174" s="48"/>
      <c r="Q174" s="55"/>
      <c r="R174" s="55"/>
      <c r="S174" s="56"/>
      <c r="T174" s="56"/>
      <c r="U174" s="56"/>
    </row>
    <row r="175" spans="1:25" x14ac:dyDescent="0.25">
      <c r="A175" s="53"/>
      <c r="B175" s="53"/>
      <c r="C175" s="53"/>
      <c r="D175" s="53"/>
      <c r="E175" s="53"/>
      <c r="F175" s="53"/>
      <c r="G175" s="53"/>
      <c r="H175" s="54"/>
      <c r="I175" s="54"/>
      <c r="J175" s="54"/>
      <c r="K175" s="54"/>
      <c r="L175" s="48"/>
      <c r="M175" s="48"/>
      <c r="N175" s="48"/>
      <c r="O175" s="48"/>
      <c r="P175" s="48"/>
      <c r="Q175" s="55"/>
      <c r="R175" s="55"/>
      <c r="S175" s="56"/>
      <c r="T175" s="56"/>
      <c r="U175" s="56"/>
    </row>
    <row r="176" spans="1:25" x14ac:dyDescent="0.25">
      <c r="A176" s="53"/>
      <c r="B176" s="53"/>
      <c r="C176" s="53"/>
      <c r="D176" s="53"/>
      <c r="E176" s="53"/>
      <c r="F176" s="53"/>
      <c r="G176" s="53"/>
      <c r="H176" s="54"/>
      <c r="I176" s="54"/>
      <c r="J176" s="54"/>
      <c r="K176" s="54"/>
      <c r="L176" s="48"/>
      <c r="M176" s="48"/>
      <c r="N176" s="48"/>
      <c r="O176" s="48"/>
      <c r="P176" s="48"/>
      <c r="Q176" s="55"/>
      <c r="R176" s="55"/>
      <c r="S176" s="56"/>
      <c r="T176" s="56"/>
      <c r="U176" s="56"/>
    </row>
    <row r="177" spans="1:35" x14ac:dyDescent="0.25">
      <c r="A177" s="53"/>
      <c r="B177" s="53"/>
      <c r="C177" s="53"/>
      <c r="D177" s="53"/>
      <c r="E177" s="53"/>
      <c r="F177" s="53"/>
      <c r="G177" s="53"/>
      <c r="H177" s="54"/>
      <c r="I177" s="54"/>
      <c r="J177" s="54"/>
      <c r="K177" s="54"/>
      <c r="L177" s="48"/>
      <c r="M177" s="48"/>
      <c r="N177" s="48"/>
      <c r="O177" s="48"/>
      <c r="P177" s="48"/>
      <c r="Q177" s="55"/>
      <c r="R177" s="55"/>
      <c r="S177" s="56"/>
      <c r="T177" s="56"/>
      <c r="U177" s="56"/>
    </row>
    <row r="178" spans="1:35" x14ac:dyDescent="0.25">
      <c r="A178" s="53"/>
      <c r="B178" s="53"/>
      <c r="C178" s="53"/>
      <c r="D178" s="53"/>
      <c r="E178" s="53"/>
      <c r="F178" s="53"/>
      <c r="G178" s="53"/>
      <c r="H178" s="54"/>
      <c r="I178" s="54"/>
      <c r="J178" s="54"/>
      <c r="K178" s="54"/>
      <c r="L178" s="48"/>
      <c r="M178" s="48"/>
      <c r="N178" s="48"/>
      <c r="O178" s="48"/>
      <c r="P178" s="48"/>
      <c r="Q178" s="55"/>
      <c r="R178" s="55"/>
      <c r="S178" s="56"/>
      <c r="T178" s="56"/>
      <c r="U178" s="56"/>
    </row>
    <row r="179" spans="1:35" x14ac:dyDescent="0.25">
      <c r="A179" s="53"/>
      <c r="B179" s="53"/>
      <c r="C179" s="53"/>
      <c r="D179" s="53"/>
      <c r="E179" s="53"/>
      <c r="F179" s="53"/>
      <c r="G179" s="53"/>
      <c r="H179" s="54"/>
      <c r="I179" s="54"/>
      <c r="J179" s="54"/>
      <c r="K179" s="54"/>
      <c r="L179" s="48"/>
      <c r="M179" s="48"/>
      <c r="N179" s="48"/>
      <c r="O179" s="48"/>
      <c r="P179" s="48"/>
      <c r="Q179" s="55"/>
      <c r="R179" s="55"/>
      <c r="S179" s="56"/>
      <c r="T179" s="56"/>
      <c r="U179" s="56"/>
    </row>
    <row r="181" spans="1:35" x14ac:dyDescent="0.25">
      <c r="A181" s="170" t="s">
        <v>80</v>
      </c>
      <c r="B181" s="170"/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70"/>
      <c r="U181" s="170"/>
    </row>
    <row r="183" spans="1:35" ht="12.75" customHeight="1" x14ac:dyDescent="0.25">
      <c r="A183" s="90" t="s">
        <v>74</v>
      </c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64" t="s">
        <v>102</v>
      </c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</row>
    <row r="184" spans="1:35" ht="27.75" customHeight="1" x14ac:dyDescent="0.25">
      <c r="A184" s="90" t="s">
        <v>27</v>
      </c>
      <c r="B184" s="90" t="s">
        <v>26</v>
      </c>
      <c r="C184" s="90"/>
      <c r="D184" s="90"/>
      <c r="E184" s="90"/>
      <c r="F184" s="90"/>
      <c r="G184" s="90"/>
      <c r="H184" s="90"/>
      <c r="I184" s="90"/>
      <c r="J184" s="155" t="s">
        <v>40</v>
      </c>
      <c r="K184" s="155" t="s">
        <v>24</v>
      </c>
      <c r="L184" s="155"/>
      <c r="M184" s="155"/>
      <c r="N184" s="155"/>
      <c r="O184" s="155" t="s">
        <v>41</v>
      </c>
      <c r="P184" s="208"/>
      <c r="Q184" s="208"/>
      <c r="R184" s="155" t="s">
        <v>23</v>
      </c>
      <c r="S184" s="155"/>
      <c r="T184" s="155"/>
      <c r="U184" s="155" t="s">
        <v>22</v>
      </c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</row>
    <row r="185" spans="1:35" x14ac:dyDescent="0.25">
      <c r="A185" s="90"/>
      <c r="B185" s="90"/>
      <c r="C185" s="90"/>
      <c r="D185" s="90"/>
      <c r="E185" s="90"/>
      <c r="F185" s="90"/>
      <c r="G185" s="90"/>
      <c r="H185" s="90"/>
      <c r="I185" s="90"/>
      <c r="J185" s="155"/>
      <c r="K185" s="5" t="s">
        <v>28</v>
      </c>
      <c r="L185" s="5" t="s">
        <v>29</v>
      </c>
      <c r="M185" s="5"/>
      <c r="N185" s="5" t="s">
        <v>30</v>
      </c>
      <c r="O185" s="5" t="s">
        <v>34</v>
      </c>
      <c r="P185" s="5" t="s">
        <v>7</v>
      </c>
      <c r="Q185" s="5" t="s">
        <v>31</v>
      </c>
      <c r="R185" s="5" t="s">
        <v>32</v>
      </c>
      <c r="S185" s="5" t="s">
        <v>28</v>
      </c>
      <c r="T185" s="5" t="s">
        <v>33</v>
      </c>
      <c r="U185" s="15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</row>
    <row r="186" spans="1:35" x14ac:dyDescent="0.25">
      <c r="A186" s="225" t="s">
        <v>75</v>
      </c>
      <c r="B186" s="225"/>
      <c r="C186" s="225"/>
      <c r="D186" s="225"/>
      <c r="E186" s="225"/>
      <c r="F186" s="225"/>
      <c r="G186" s="225"/>
      <c r="H186" s="225"/>
      <c r="I186" s="225"/>
      <c r="J186" s="225"/>
      <c r="K186" s="225"/>
      <c r="L186" s="225"/>
      <c r="M186" s="225"/>
      <c r="N186" s="225"/>
      <c r="O186" s="225"/>
      <c r="P186" s="225"/>
      <c r="Q186" s="225"/>
      <c r="R186" s="225"/>
      <c r="S186" s="225"/>
      <c r="T186" s="225"/>
      <c r="U186" s="22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</row>
    <row r="187" spans="1:35" x14ac:dyDescent="0.25">
      <c r="A187" s="37" t="s">
        <v>68</v>
      </c>
      <c r="B187" s="59" t="s">
        <v>81</v>
      </c>
      <c r="C187" s="59"/>
      <c r="D187" s="59"/>
      <c r="E187" s="59"/>
      <c r="F187" s="59"/>
      <c r="G187" s="59"/>
      <c r="H187" s="59"/>
      <c r="I187" s="59"/>
      <c r="J187" s="34">
        <v>5</v>
      </c>
      <c r="K187" s="34">
        <v>2</v>
      </c>
      <c r="L187" s="34">
        <v>1</v>
      </c>
      <c r="M187" s="34"/>
      <c r="N187" s="34">
        <v>0</v>
      </c>
      <c r="O187" s="35">
        <f>K187+L187+N187</f>
        <v>3</v>
      </c>
      <c r="P187" s="35">
        <f>Q187-O187</f>
        <v>6</v>
      </c>
      <c r="Q187" s="35">
        <f>ROUND(PRODUCT(J187,25)/14,0)</f>
        <v>9</v>
      </c>
      <c r="R187" s="34" t="s">
        <v>32</v>
      </c>
      <c r="S187" s="34"/>
      <c r="T187" s="36"/>
      <c r="U187" s="36" t="s">
        <v>37</v>
      </c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</row>
    <row r="188" spans="1:35" x14ac:dyDescent="0.25">
      <c r="A188" s="37" t="s">
        <v>69</v>
      </c>
      <c r="B188" s="59" t="s">
        <v>82</v>
      </c>
      <c r="C188" s="59"/>
      <c r="D188" s="59"/>
      <c r="E188" s="59"/>
      <c r="F188" s="59"/>
      <c r="G188" s="59"/>
      <c r="H188" s="59"/>
      <c r="I188" s="59"/>
      <c r="J188" s="34">
        <v>5</v>
      </c>
      <c r="K188" s="34">
        <v>2</v>
      </c>
      <c r="L188" s="34">
        <v>1</v>
      </c>
      <c r="M188" s="34"/>
      <c r="N188" s="34">
        <v>0</v>
      </c>
      <c r="O188" s="35">
        <f>K188+L188+N188</f>
        <v>3</v>
      </c>
      <c r="P188" s="35">
        <f>Q188-O188</f>
        <v>6</v>
      </c>
      <c r="Q188" s="35">
        <f>ROUND(PRODUCT(J188,25)/14,0)</f>
        <v>9</v>
      </c>
      <c r="R188" s="34" t="s">
        <v>32</v>
      </c>
      <c r="S188" s="34"/>
      <c r="T188" s="36"/>
      <c r="U188" s="36" t="s">
        <v>37</v>
      </c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</row>
    <row r="189" spans="1:35" x14ac:dyDescent="0.25">
      <c r="A189" s="66" t="s">
        <v>76</v>
      </c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8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</row>
    <row r="190" spans="1:35" ht="36" customHeight="1" x14ac:dyDescent="0.25">
      <c r="A190" s="37" t="s">
        <v>70</v>
      </c>
      <c r="B190" s="60" t="s">
        <v>95</v>
      </c>
      <c r="C190" s="61"/>
      <c r="D190" s="61"/>
      <c r="E190" s="61"/>
      <c r="F190" s="61"/>
      <c r="G190" s="61"/>
      <c r="H190" s="61"/>
      <c r="I190" s="62"/>
      <c r="J190" s="34">
        <v>5</v>
      </c>
      <c r="K190" s="34">
        <v>2</v>
      </c>
      <c r="L190" s="34">
        <v>1</v>
      </c>
      <c r="M190" s="34"/>
      <c r="N190" s="34">
        <v>0</v>
      </c>
      <c r="O190" s="35">
        <f>K190+L190+N190</f>
        <v>3</v>
      </c>
      <c r="P190" s="35">
        <f>Q190-O190</f>
        <v>6</v>
      </c>
      <c r="Q190" s="35">
        <f>ROUND(PRODUCT(J190,25)/14,0)</f>
        <v>9</v>
      </c>
      <c r="R190" s="34" t="s">
        <v>32</v>
      </c>
      <c r="S190" s="34"/>
      <c r="T190" s="36"/>
      <c r="U190" s="36" t="s">
        <v>83</v>
      </c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</row>
    <row r="191" spans="1:35" ht="15" customHeight="1" x14ac:dyDescent="0.25">
      <c r="A191" s="37" t="s">
        <v>71</v>
      </c>
      <c r="B191" s="60" t="s">
        <v>96</v>
      </c>
      <c r="C191" s="61"/>
      <c r="D191" s="61"/>
      <c r="E191" s="61"/>
      <c r="F191" s="61"/>
      <c r="G191" s="61"/>
      <c r="H191" s="61"/>
      <c r="I191" s="62"/>
      <c r="J191" s="34">
        <v>5</v>
      </c>
      <c r="K191" s="34">
        <v>1</v>
      </c>
      <c r="L191" s="34">
        <v>2</v>
      </c>
      <c r="M191" s="34"/>
      <c r="N191" s="34">
        <v>0</v>
      </c>
      <c r="O191" s="35">
        <f>K191+L191+N191</f>
        <v>3</v>
      </c>
      <c r="P191" s="35">
        <f>Q191-O191</f>
        <v>6</v>
      </c>
      <c r="Q191" s="35">
        <f>ROUND(PRODUCT(J191,25)/14,0)</f>
        <v>9</v>
      </c>
      <c r="R191" s="34" t="s">
        <v>32</v>
      </c>
      <c r="S191" s="34"/>
      <c r="T191" s="36"/>
      <c r="U191" s="36" t="s">
        <v>84</v>
      </c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</row>
    <row r="192" spans="1:35" x14ac:dyDescent="0.25">
      <c r="A192" s="66" t="s">
        <v>77</v>
      </c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8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</row>
    <row r="193" spans="1:35" ht="29.25" customHeight="1" x14ac:dyDescent="0.25">
      <c r="A193" s="37" t="s">
        <v>86</v>
      </c>
      <c r="B193" s="60" t="s">
        <v>85</v>
      </c>
      <c r="C193" s="61"/>
      <c r="D193" s="61"/>
      <c r="E193" s="61"/>
      <c r="F193" s="61"/>
      <c r="G193" s="61"/>
      <c r="H193" s="61"/>
      <c r="I193" s="62"/>
      <c r="J193" s="34">
        <v>5</v>
      </c>
      <c r="K193" s="34">
        <v>0</v>
      </c>
      <c r="L193" s="34">
        <v>0</v>
      </c>
      <c r="M193" s="34"/>
      <c r="N193" s="34">
        <v>3</v>
      </c>
      <c r="O193" s="35">
        <f>K193+L193+N193</f>
        <v>3</v>
      </c>
      <c r="P193" s="35">
        <f>Q193-O193</f>
        <v>6</v>
      </c>
      <c r="Q193" s="35">
        <f>ROUND(PRODUCT(J193,25)/14,0)</f>
        <v>9</v>
      </c>
      <c r="R193" s="34"/>
      <c r="S193" s="34" t="s">
        <v>28</v>
      </c>
      <c r="T193" s="36"/>
      <c r="U193" s="36" t="s">
        <v>83</v>
      </c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</row>
    <row r="194" spans="1:35" ht="18" customHeight="1" x14ac:dyDescent="0.25">
      <c r="A194" s="37" t="s">
        <v>87</v>
      </c>
      <c r="B194" s="60" t="s">
        <v>97</v>
      </c>
      <c r="C194" s="61"/>
      <c r="D194" s="61"/>
      <c r="E194" s="61"/>
      <c r="F194" s="61"/>
      <c r="G194" s="61"/>
      <c r="H194" s="61"/>
      <c r="I194" s="62"/>
      <c r="J194" s="34">
        <v>5</v>
      </c>
      <c r="K194" s="34">
        <v>1</v>
      </c>
      <c r="L194" s="34">
        <v>2</v>
      </c>
      <c r="M194" s="34"/>
      <c r="N194" s="34">
        <v>0</v>
      </c>
      <c r="O194" s="35">
        <f>K194+L194+N194</f>
        <v>3</v>
      </c>
      <c r="P194" s="35">
        <f>Q194-O194</f>
        <v>6</v>
      </c>
      <c r="Q194" s="35">
        <f>ROUND(PRODUCT(J194,25)/14,0)</f>
        <v>9</v>
      </c>
      <c r="R194" s="34" t="s">
        <v>32</v>
      </c>
      <c r="S194" s="34"/>
      <c r="T194" s="36"/>
      <c r="U194" s="36" t="s">
        <v>84</v>
      </c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</row>
    <row r="195" spans="1:35" x14ac:dyDescent="0.25">
      <c r="A195" s="69" t="s">
        <v>78</v>
      </c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1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</row>
    <row r="196" spans="1:35" ht="18.75" customHeight="1" x14ac:dyDescent="0.25">
      <c r="A196" s="37"/>
      <c r="B196" s="60" t="s">
        <v>72</v>
      </c>
      <c r="C196" s="61"/>
      <c r="D196" s="61"/>
      <c r="E196" s="61"/>
      <c r="F196" s="61"/>
      <c r="G196" s="61"/>
      <c r="H196" s="61"/>
      <c r="I196" s="62"/>
      <c r="J196" s="34">
        <v>5</v>
      </c>
      <c r="K196" s="34"/>
      <c r="L196" s="34"/>
      <c r="M196" s="34"/>
      <c r="N196" s="34"/>
      <c r="O196" s="35"/>
      <c r="P196" s="35"/>
      <c r="Q196" s="35"/>
      <c r="R196" s="34"/>
      <c r="S196" s="34"/>
      <c r="T196" s="36"/>
      <c r="U196" s="31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</row>
    <row r="197" spans="1:35" ht="20.25" customHeight="1" x14ac:dyDescent="0.25">
      <c r="A197" s="72" t="s">
        <v>73</v>
      </c>
      <c r="B197" s="73"/>
      <c r="C197" s="73"/>
      <c r="D197" s="73"/>
      <c r="E197" s="73"/>
      <c r="F197" s="73"/>
      <c r="G197" s="73"/>
      <c r="H197" s="73"/>
      <c r="I197" s="74"/>
      <c r="J197" s="38">
        <f>SUM(J187:J188,J190:J191,J193:J194,J196)</f>
        <v>35</v>
      </c>
      <c r="K197" s="38">
        <f t="shared" ref="K197:Q197" si="34">SUM(K187:K188,K190:K191,K193:K194,K196)</f>
        <v>8</v>
      </c>
      <c r="L197" s="38">
        <f t="shared" si="34"/>
        <v>7</v>
      </c>
      <c r="M197" s="38"/>
      <c r="N197" s="38">
        <f t="shared" si="34"/>
        <v>3</v>
      </c>
      <c r="O197" s="38">
        <f t="shared" si="34"/>
        <v>18</v>
      </c>
      <c r="P197" s="38">
        <f t="shared" si="34"/>
        <v>36</v>
      </c>
      <c r="Q197" s="38">
        <f t="shared" si="34"/>
        <v>54</v>
      </c>
      <c r="R197" s="40">
        <f>COUNTIF(R187:R188,"E")+COUNTIF(R190:R191,"E")+COUNTIF(R193:R194,"E")+COUNTIF(R196,"E")</f>
        <v>5</v>
      </c>
      <c r="S197" s="40">
        <f>COUNTIF(S187:S188,"C")+COUNTIF(S190:S191,"C")+COUNTIF(S193:S194,"C")+COUNTIF(S196,"C")</f>
        <v>1</v>
      </c>
      <c r="T197" s="40">
        <f>COUNTIF(T187:T188,"VP")+COUNTIF(T190:T191,"VP")+COUNTIF(T193:T194,"VP")+COUNTIF(T196,"VP")</f>
        <v>0</v>
      </c>
      <c r="U197" s="39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</row>
    <row r="198" spans="1:35" ht="20.25" customHeight="1" x14ac:dyDescent="0.25">
      <c r="A198" s="75" t="s">
        <v>48</v>
      </c>
      <c r="B198" s="76"/>
      <c r="C198" s="76"/>
      <c r="D198" s="76"/>
      <c r="E198" s="76"/>
      <c r="F198" s="76"/>
      <c r="G198" s="76"/>
      <c r="H198" s="76"/>
      <c r="I198" s="76"/>
      <c r="J198" s="77"/>
      <c r="K198" s="38">
        <f>SUM(K187:K188,K190:K191,K193:K194)*14</f>
        <v>112</v>
      </c>
      <c r="L198" s="38">
        <f t="shared" ref="L198:Q198" si="35">SUM(L187:L188,L190:L191,L193:L194)*14</f>
        <v>98</v>
      </c>
      <c r="M198" s="38"/>
      <c r="N198" s="38">
        <f t="shared" si="35"/>
        <v>42</v>
      </c>
      <c r="O198" s="38">
        <f t="shared" si="35"/>
        <v>252</v>
      </c>
      <c r="P198" s="38">
        <f t="shared" si="35"/>
        <v>504</v>
      </c>
      <c r="Q198" s="38">
        <f t="shared" si="35"/>
        <v>756</v>
      </c>
      <c r="R198" s="81"/>
      <c r="S198" s="82"/>
      <c r="T198" s="82"/>
      <c r="U198" s="83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</row>
    <row r="199" spans="1:35" ht="20.25" customHeight="1" x14ac:dyDescent="0.25">
      <c r="A199" s="78"/>
      <c r="B199" s="79"/>
      <c r="C199" s="79"/>
      <c r="D199" s="79"/>
      <c r="E199" s="79"/>
      <c r="F199" s="79"/>
      <c r="G199" s="79"/>
      <c r="H199" s="79"/>
      <c r="I199" s="79"/>
      <c r="J199" s="80"/>
      <c r="K199" s="87">
        <f>SUM(K198:N198)</f>
        <v>252</v>
      </c>
      <c r="L199" s="88"/>
      <c r="M199" s="88"/>
      <c r="N199" s="89"/>
      <c r="O199" s="87">
        <f>SUM(O198:P198)</f>
        <v>756</v>
      </c>
      <c r="P199" s="88"/>
      <c r="Q199" s="89"/>
      <c r="R199" s="84"/>
      <c r="S199" s="85"/>
      <c r="T199" s="85"/>
      <c r="U199" s="86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</row>
    <row r="200" spans="1:35" x14ac:dyDescent="0.25"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</row>
    <row r="201" spans="1:35" x14ac:dyDescent="0.25">
      <c r="A201" s="63" t="s">
        <v>88</v>
      </c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</row>
    <row r="202" spans="1:35" x14ac:dyDescent="0.25">
      <c r="A202" s="63" t="s">
        <v>89</v>
      </c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</row>
    <row r="203" spans="1:35" x14ac:dyDescent="0.25">
      <c r="A203" s="63" t="s">
        <v>90</v>
      </c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</row>
    <row r="204" spans="1:35" x14ac:dyDescent="0.25"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</row>
    <row r="205" spans="1:35" x14ac:dyDescent="0.25"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</row>
    <row r="206" spans="1:35" x14ac:dyDescent="0.25"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</row>
    <row r="207" spans="1:35" x14ac:dyDescent="0.25"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</row>
    <row r="208" spans="1:35" x14ac:dyDescent="0.25"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</row>
  </sheetData>
  <sheetProtection formatCells="0" formatRows="0" insertRows="0"/>
  <mergeCells count="268">
    <mergeCell ref="A181:U181"/>
    <mergeCell ref="A184:A185"/>
    <mergeCell ref="B184:I185"/>
    <mergeCell ref="J184:J185"/>
    <mergeCell ref="K184:N184"/>
    <mergeCell ref="O184:Q184"/>
    <mergeCell ref="R184:T184"/>
    <mergeCell ref="U184:U185"/>
    <mergeCell ref="A186:U186"/>
    <mergeCell ref="V3:Y3"/>
    <mergeCell ref="V6:Y6"/>
    <mergeCell ref="V28:W28"/>
    <mergeCell ref="V29:W29"/>
    <mergeCell ref="V44:X44"/>
    <mergeCell ref="V56:X56"/>
    <mergeCell ref="V65:X65"/>
    <mergeCell ref="V9:AA12"/>
    <mergeCell ref="V15:AA17"/>
    <mergeCell ref="V20:AB23"/>
    <mergeCell ref="AB16:AC16"/>
    <mergeCell ref="A89:U89"/>
    <mergeCell ref="K91:N91"/>
    <mergeCell ref="O91:Q91"/>
    <mergeCell ref="B99:I99"/>
    <mergeCell ref="B100:I100"/>
    <mergeCell ref="B102:I102"/>
    <mergeCell ref="V74:X74"/>
    <mergeCell ref="V165:Y165"/>
    <mergeCell ref="V4:Y4"/>
    <mergeCell ref="V5:Y5"/>
    <mergeCell ref="R91:T91"/>
    <mergeCell ref="B95:I95"/>
    <mergeCell ref="B96:I96"/>
    <mergeCell ref="B97:I97"/>
    <mergeCell ref="B94:I94"/>
    <mergeCell ref="A93:U93"/>
    <mergeCell ref="U91:U92"/>
    <mergeCell ref="B98:I98"/>
    <mergeCell ref="A90:U90"/>
    <mergeCell ref="A11:K11"/>
    <mergeCell ref="A12:K12"/>
    <mergeCell ref="B62:I62"/>
    <mergeCell ref="A58:U58"/>
    <mergeCell ref="J59:J60"/>
    <mergeCell ref="K59:N59"/>
    <mergeCell ref="A91:A92"/>
    <mergeCell ref="B91:I92"/>
    <mergeCell ref="J91:J92"/>
    <mergeCell ref="O59:Q59"/>
    <mergeCell ref="R59:T59"/>
    <mergeCell ref="U59:U60"/>
    <mergeCell ref="B70:I70"/>
    <mergeCell ref="B71:I71"/>
    <mergeCell ref="B72:I72"/>
    <mergeCell ref="B73:I73"/>
    <mergeCell ref="A59:A60"/>
    <mergeCell ref="B59:I60"/>
    <mergeCell ref="A76:U76"/>
    <mergeCell ref="J77:J78"/>
    <mergeCell ref="K77:N77"/>
    <mergeCell ref="O77:Q77"/>
    <mergeCell ref="A77:A78"/>
    <mergeCell ref="B74:I74"/>
    <mergeCell ref="B61:I61"/>
    <mergeCell ref="U68:U69"/>
    <mergeCell ref="B65:I65"/>
    <mergeCell ref="B68:I69"/>
    <mergeCell ref="B63:I63"/>
    <mergeCell ref="N15:U15"/>
    <mergeCell ref="S6:U6"/>
    <mergeCell ref="N8:U11"/>
    <mergeCell ref="A15:K15"/>
    <mergeCell ref="J38:J39"/>
    <mergeCell ref="A37:U37"/>
    <mergeCell ref="A20:K23"/>
    <mergeCell ref="N21:U23"/>
    <mergeCell ref="I26:K26"/>
    <mergeCell ref="B26:C26"/>
    <mergeCell ref="H26:H27"/>
    <mergeCell ref="A25:G25"/>
    <mergeCell ref="G26:G27"/>
    <mergeCell ref="A13:K13"/>
    <mergeCell ref="A14:K14"/>
    <mergeCell ref="A16:K16"/>
    <mergeCell ref="N17:U17"/>
    <mergeCell ref="N18:U18"/>
    <mergeCell ref="N13:U13"/>
    <mergeCell ref="N16:U16"/>
    <mergeCell ref="A8:K8"/>
    <mergeCell ref="A9:K9"/>
    <mergeCell ref="N25:U30"/>
    <mergeCell ref="B56:I56"/>
    <mergeCell ref="B54:I54"/>
    <mergeCell ref="B55:I55"/>
    <mergeCell ref="B42:I42"/>
    <mergeCell ref="B40:I40"/>
    <mergeCell ref="B44:I44"/>
    <mergeCell ref="B52:I52"/>
    <mergeCell ref="B53:I53"/>
    <mergeCell ref="B43:I43"/>
    <mergeCell ref="B50:I51"/>
    <mergeCell ref="B41:I41"/>
    <mergeCell ref="A1:K1"/>
    <mergeCell ref="A3:K3"/>
    <mergeCell ref="K50:N50"/>
    <mergeCell ref="N19:U19"/>
    <mergeCell ref="N1:U1"/>
    <mergeCell ref="N14:U14"/>
    <mergeCell ref="A4:K5"/>
    <mergeCell ref="A35:U35"/>
    <mergeCell ref="A19:K19"/>
    <mergeCell ref="A17:K17"/>
    <mergeCell ref="N3:O3"/>
    <mergeCell ref="N5:O5"/>
    <mergeCell ref="D26:F26"/>
    <mergeCell ref="A18:K18"/>
    <mergeCell ref="O50:Q50"/>
    <mergeCell ref="R50:T50"/>
    <mergeCell ref="S3:U3"/>
    <mergeCell ref="U38:U39"/>
    <mergeCell ref="O38:Q38"/>
    <mergeCell ref="K38:N38"/>
    <mergeCell ref="U50:U51"/>
    <mergeCell ref="R38:T38"/>
    <mergeCell ref="A49:U49"/>
    <mergeCell ref="J50:J51"/>
    <mergeCell ref="S4:U4"/>
    <mergeCell ref="S5:U5"/>
    <mergeCell ref="A2:K2"/>
    <mergeCell ref="A6:K6"/>
    <mergeCell ref="P5:R5"/>
    <mergeCell ref="P6:R6"/>
    <mergeCell ref="P3:R3"/>
    <mergeCell ref="B81:I81"/>
    <mergeCell ref="R77:T77"/>
    <mergeCell ref="B64:I64"/>
    <mergeCell ref="A67:U67"/>
    <mergeCell ref="J68:J69"/>
    <mergeCell ref="K68:N68"/>
    <mergeCell ref="O68:Q68"/>
    <mergeCell ref="R68:T68"/>
    <mergeCell ref="A68:A69"/>
    <mergeCell ref="A50:A51"/>
    <mergeCell ref="A38:A39"/>
    <mergeCell ref="B38:I39"/>
    <mergeCell ref="P4:R4"/>
    <mergeCell ref="N4:O4"/>
    <mergeCell ref="A10:K10"/>
    <mergeCell ref="N6:O6"/>
    <mergeCell ref="A7:K7"/>
    <mergeCell ref="K87:N87"/>
    <mergeCell ref="O87:Q87"/>
    <mergeCell ref="R86:U87"/>
    <mergeCell ref="A85:I85"/>
    <mergeCell ref="A86:J87"/>
    <mergeCell ref="U77:U78"/>
    <mergeCell ref="B77:I78"/>
    <mergeCell ref="B83:I83"/>
    <mergeCell ref="B84:I84"/>
    <mergeCell ref="B80:I80"/>
    <mergeCell ref="A82:U82"/>
    <mergeCell ref="A79:U79"/>
    <mergeCell ref="A117:U117"/>
    <mergeCell ref="A120:U120"/>
    <mergeCell ref="B121:I121"/>
    <mergeCell ref="B105:I105"/>
    <mergeCell ref="B101:I101"/>
    <mergeCell ref="A118:A119"/>
    <mergeCell ref="B118:I119"/>
    <mergeCell ref="A104:U104"/>
    <mergeCell ref="J118:J119"/>
    <mergeCell ref="K118:N118"/>
    <mergeCell ref="U118:U119"/>
    <mergeCell ref="O118:Q118"/>
    <mergeCell ref="B103:I103"/>
    <mergeCell ref="A108:J109"/>
    <mergeCell ref="R108:U109"/>
    <mergeCell ref="O109:Q109"/>
    <mergeCell ref="K109:N109"/>
    <mergeCell ref="A107:I107"/>
    <mergeCell ref="B106:I106"/>
    <mergeCell ref="B127:I127"/>
    <mergeCell ref="A128:I128"/>
    <mergeCell ref="R118:T118"/>
    <mergeCell ref="B125:I125"/>
    <mergeCell ref="B126:I126"/>
    <mergeCell ref="B122:I122"/>
    <mergeCell ref="A123:U123"/>
    <mergeCell ref="B124:I124"/>
    <mergeCell ref="A129:J130"/>
    <mergeCell ref="A147:A148"/>
    <mergeCell ref="A146:U146"/>
    <mergeCell ref="J147:J148"/>
    <mergeCell ref="K147:N147"/>
    <mergeCell ref="O147:Q147"/>
    <mergeCell ref="R129:U130"/>
    <mergeCell ref="K130:N130"/>
    <mergeCell ref="O130:Q130"/>
    <mergeCell ref="B147:I148"/>
    <mergeCell ref="R147:T147"/>
    <mergeCell ref="U147:U148"/>
    <mergeCell ref="A158:J159"/>
    <mergeCell ref="A149:U149"/>
    <mergeCell ref="B150:I150"/>
    <mergeCell ref="B151:I151"/>
    <mergeCell ref="B153:I153"/>
    <mergeCell ref="A154:U154"/>
    <mergeCell ref="B152:I152"/>
    <mergeCell ref="R158:U159"/>
    <mergeCell ref="A161:B161"/>
    <mergeCell ref="B156:I156"/>
    <mergeCell ref="B155:I155"/>
    <mergeCell ref="A157:I157"/>
    <mergeCell ref="K159:N159"/>
    <mergeCell ref="O159:Q159"/>
    <mergeCell ref="A162:A163"/>
    <mergeCell ref="B162:G163"/>
    <mergeCell ref="H162:I163"/>
    <mergeCell ref="J162:P162"/>
    <mergeCell ref="Q162:R163"/>
    <mergeCell ref="S162:U162"/>
    <mergeCell ref="J163:K163"/>
    <mergeCell ref="L163:N163"/>
    <mergeCell ref="O163:P163"/>
    <mergeCell ref="T163:U163"/>
    <mergeCell ref="A166:G166"/>
    <mergeCell ref="H166:I166"/>
    <mergeCell ref="J166:K166"/>
    <mergeCell ref="L166:N166"/>
    <mergeCell ref="O166:P166"/>
    <mergeCell ref="Q166:R166"/>
    <mergeCell ref="T166:U166"/>
    <mergeCell ref="B164:G164"/>
    <mergeCell ref="H164:I164"/>
    <mergeCell ref="J164:K164"/>
    <mergeCell ref="L164:N164"/>
    <mergeCell ref="O164:P164"/>
    <mergeCell ref="Q164:R164"/>
    <mergeCell ref="T164:U164"/>
    <mergeCell ref="B165:G165"/>
    <mergeCell ref="H165:I165"/>
    <mergeCell ref="J165:K165"/>
    <mergeCell ref="L165:N165"/>
    <mergeCell ref="O165:P165"/>
    <mergeCell ref="Q165:R165"/>
    <mergeCell ref="T165:U165"/>
    <mergeCell ref="B187:I187"/>
    <mergeCell ref="B193:I193"/>
    <mergeCell ref="A201:U201"/>
    <mergeCell ref="A202:U202"/>
    <mergeCell ref="A203:U203"/>
    <mergeCell ref="V183:AI184"/>
    <mergeCell ref="V185:AB208"/>
    <mergeCell ref="AC185:AI208"/>
    <mergeCell ref="A189:U189"/>
    <mergeCell ref="B190:I190"/>
    <mergeCell ref="A192:U192"/>
    <mergeCell ref="B194:I194"/>
    <mergeCell ref="A195:U195"/>
    <mergeCell ref="B196:I196"/>
    <mergeCell ref="A197:I197"/>
    <mergeCell ref="A198:J199"/>
    <mergeCell ref="R198:U199"/>
    <mergeCell ref="K199:N199"/>
    <mergeCell ref="O199:Q199"/>
    <mergeCell ref="B191:I191"/>
    <mergeCell ref="A183:U183"/>
    <mergeCell ref="B188:I188"/>
  </mergeCells>
  <phoneticPr fontId="5" type="noConversion"/>
  <conditionalFormatting sqref="V165 V3:V6 V28:V29">
    <cfRule type="cellIs" dxfId="23" priority="47" operator="equal">
      <formula>"E bine"</formula>
    </cfRule>
  </conditionalFormatting>
  <conditionalFormatting sqref="V165 V3:V6 V28:V29">
    <cfRule type="cellIs" dxfId="22" priority="46" operator="equal">
      <formula>"NU e bine"</formula>
    </cfRule>
  </conditionalFormatting>
  <conditionalFormatting sqref="V3:W6 V28:W29">
    <cfRule type="cellIs" dxfId="21" priority="39" operator="equal">
      <formula>"Suma trebuie să fie 52"</formula>
    </cfRule>
    <cfRule type="cellIs" dxfId="20" priority="40" operator="equal">
      <formula>"Corect"</formula>
    </cfRule>
    <cfRule type="cellIs" dxfId="19" priority="41" operator="equal">
      <formula>SUM($B$28:$J$28)</formula>
    </cfRule>
    <cfRule type="cellIs" dxfId="18" priority="42" operator="lessThan">
      <formula>"(SUM(B28:K28)=52"</formula>
    </cfRule>
    <cfRule type="cellIs" dxfId="17" priority="43" operator="equal">
      <formula>52</formula>
    </cfRule>
    <cfRule type="cellIs" dxfId="16" priority="44" operator="equal">
      <formula>$K$28</formula>
    </cfRule>
    <cfRule type="cellIs" dxfId="15" priority="45" operator="equal">
      <formula>$B$28:$K$28=52</formula>
    </cfRule>
  </conditionalFormatting>
  <conditionalFormatting sqref="V165:W165 V3:W6 V28:W29">
    <cfRule type="cellIs" dxfId="14" priority="37" operator="equal">
      <formula>"Suma trebuie să fie 52"</formula>
    </cfRule>
    <cfRule type="cellIs" dxfId="13" priority="38" operator="equal">
      <formula>"Corect"</formula>
    </cfRule>
  </conditionalFormatting>
  <conditionalFormatting sqref="V3:Y6">
    <cfRule type="cellIs" dxfId="12" priority="36" operator="equal">
      <formula>"Trebuie alocate cel puțin 20 de ore pe săptămână"</formula>
    </cfRule>
  </conditionalFormatting>
  <conditionalFormatting sqref="V165:Y165 V28:W29">
    <cfRule type="cellIs" dxfId="11" priority="24" operator="equal">
      <formula>"Corect"</formula>
    </cfRule>
  </conditionalFormatting>
  <conditionalFormatting sqref="V28:W28">
    <cfRule type="cellIs" dxfId="10" priority="23" operator="equal">
      <formula>"Correct"</formula>
    </cfRule>
  </conditionalFormatting>
  <conditionalFormatting sqref="V44:X44 V56:X56 V65:X65 V74:X74">
    <cfRule type="cellIs" dxfId="9" priority="20" operator="equal">
      <formula>"E trebuie să fie cel puțin egal cu C+VP"</formula>
    </cfRule>
    <cfRule type="cellIs" dxfId="8" priority="21" operator="equal">
      <formula>"Corect"</formula>
    </cfRule>
  </conditionalFormatting>
  <conditionalFormatting sqref="V165:W165">
    <cfRule type="cellIs" dxfId="7" priority="2" operator="equal">
      <formula>"Nu corespunde cu tabelul de opționale"</formula>
    </cfRule>
    <cfRule type="cellIs" dxfId="6" priority="3" operator="equal">
      <formula>"Suma trebuie să fie 52"</formula>
    </cfRule>
    <cfRule type="cellIs" dxfId="5" priority="4" operator="equal">
      <formula>"Corect"</formula>
    </cfRule>
    <cfRule type="cellIs" dxfId="4" priority="5" operator="equal">
      <formula>SUM($B$28:$J$28)</formula>
    </cfRule>
    <cfRule type="cellIs" dxfId="3" priority="6" operator="lessThan">
      <formula>"(SUM(B28:K28)=52"</formula>
    </cfRule>
    <cfRule type="cellIs" dxfId="2" priority="7" operator="equal">
      <formula>52</formula>
    </cfRule>
    <cfRule type="cellIs" dxfId="1" priority="8" operator="equal">
      <formula>$K$28</formula>
    </cfRule>
    <cfRule type="cellIs" dxfId="0" priority="9" operator="equal">
      <formula>$B$28:$K$28=52</formula>
    </cfRule>
  </conditionalFormatting>
  <dataValidations count="6">
    <dataValidation type="list" allowBlank="1" showInputMessage="1" showErrorMessage="1" sqref="S190:S191 S196 S187:S188 S193:S194 S70:S73 S61:S64 S83:S84 S80:S81 S52:S55 S40:S43" xr:uid="{00000000-0002-0000-0000-000000000000}">
      <formula1>$S$39</formula1>
    </dataValidation>
    <dataValidation type="list" allowBlank="1" showInputMessage="1" showErrorMessage="1" sqref="R190:R191 R196 R187:R188 R193:R194 R70:R73 R61:R64 R83:R84 R80:R81 R52:R55 R40:R43" xr:uid="{00000000-0002-0000-0000-000001000000}">
      <formula1>$R$39</formula1>
    </dataValidation>
    <dataValidation type="list" allowBlank="1" showInputMessage="1" showErrorMessage="1" sqref="T190:T191 T196 T187:T188 T193:T194 T70:T73 T83:T84 T61:T64 T80:T81 T52:T55 T40:T43" xr:uid="{00000000-0002-0000-0000-000002000000}">
      <formula1>$T$39</formula1>
    </dataValidation>
    <dataValidation type="list" allowBlank="1" showInputMessage="1" showErrorMessage="1" sqref="U94:U102 U70:U73 U61:U64 U83:U84 U124:U126 U150:U152 U155 U121 U105 U80:U81 U52:U55 U40:U43" xr:uid="{00000000-0002-0000-0000-000003000000}">
      <formula1>$P$36:$T$36</formula1>
    </dataValidation>
    <dataValidation type="list" allowBlank="1" showInputMessage="1" showErrorMessage="1" sqref="U122 U153 U103" xr:uid="{00000000-0002-0000-0000-000004000000}">
      <formula1>$Q$36:$T$36</formula1>
    </dataValidation>
    <dataValidation type="list" allowBlank="1" showInputMessage="1" showErrorMessage="1" sqref="B94:I102 B155:I155 B150:I152 B124:I126 B121:I121 B105:I105" xr:uid="{00000000-0002-0000-0000-000005000000}">
      <formula1>$B$38:$B$88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landscape" blackAndWhite="1" r:id="rId1"/>
  <headerFooter>
    <oddHeader>&amp;C
&amp;R&amp;P</oddHeader>
    <oddFooter>&amp;LRECTOR,
Acad.Prof.univ.dr. Ioan Aurel POP&amp;CDECAN,
Prof.univ.dr.  Adrian Olimpiu PETRUȘEL&amp;R                                           DIRECTOR DE DEPARTAMENT,
Prof.univ.dr. Octavian AGRATINI</oddFooter>
  </headerFooter>
  <ignoredErrors>
    <ignoredError sqref="R44" formula="1"/>
    <ignoredError sqref="K8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436C8AF41D44994AA64A6708AB5AD" ma:contentTypeVersion="0" ma:contentTypeDescription="Create a new document." ma:contentTypeScope="" ma:versionID="1e145a0201785cf80eb881b8ccf1c556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A47E3DA-5698-49A4-92EA-B6C4521E51D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54E7A1D-D733-4215-B5BA-4564572BE7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5678D4-CAA5-4619-A751-E0E00121C9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</dc:creator>
  <cp:lastModifiedBy>Ady-PC</cp:lastModifiedBy>
  <cp:lastPrinted>2017-11-13T09:25:13Z</cp:lastPrinted>
  <dcterms:created xsi:type="dcterms:W3CDTF">2013-06-27T08:19:59Z</dcterms:created>
  <dcterms:modified xsi:type="dcterms:W3CDTF">2019-06-25T08:25:40Z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0x010100DBA436C8AF41D44994AA64A6708AB5AD</vt:lpwstr>
  </property>
</Properties>
</file>