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AUsers\Ady\Decanat\Planuri de invatamant\Planuri de invatamant 2019-2020\Master\Finale2\"/>
    </mc:Choice>
  </mc:AlternateContent>
  <xr:revisionPtr revIDLastSave="0" documentId="13_ncr:1_{FCE834C6-EBDE-4FB1-AF3B-23B1326080ED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68" i="1" l="1"/>
  <c r="Y3" i="1"/>
  <c r="A154" i="1" l="1"/>
  <c r="J154" i="1"/>
  <c r="K154" i="1"/>
  <c r="L154" i="1"/>
  <c r="M154" i="1"/>
  <c r="N154" i="1"/>
  <c r="O154" i="1"/>
  <c r="P154" i="1"/>
  <c r="Q154" i="1"/>
  <c r="R154" i="1"/>
  <c r="S154" i="1"/>
  <c r="J151" i="1"/>
  <c r="K151" i="1"/>
  <c r="L151" i="1"/>
  <c r="M151" i="1"/>
  <c r="Q151" i="1"/>
  <c r="R151" i="1"/>
  <c r="S151" i="1"/>
  <c r="A151" i="1"/>
  <c r="Q105" i="1"/>
  <c r="R105" i="1"/>
  <c r="S105" i="1"/>
  <c r="M105" i="1"/>
  <c r="L105" i="1"/>
  <c r="K105" i="1"/>
  <c r="J105" i="1"/>
  <c r="A105" i="1"/>
  <c r="K117" i="1"/>
  <c r="L117" i="1"/>
  <c r="M117" i="1"/>
  <c r="J117" i="1"/>
  <c r="Q115" i="1"/>
  <c r="R115" i="1"/>
  <c r="S115" i="1"/>
  <c r="Q116" i="1"/>
  <c r="R116" i="1"/>
  <c r="S116" i="1"/>
  <c r="Q114" i="1"/>
  <c r="R114" i="1"/>
  <c r="S114" i="1"/>
  <c r="R117" i="1" l="1"/>
  <c r="S117" i="1"/>
  <c r="Q117" i="1"/>
  <c r="L92" i="1" l="1"/>
  <c r="M92" i="1"/>
  <c r="K92" i="1"/>
  <c r="S91" i="1"/>
  <c r="R91" i="1"/>
  <c r="Q91" i="1"/>
  <c r="K91" i="1"/>
  <c r="L91" i="1"/>
  <c r="M91" i="1"/>
  <c r="J91" i="1"/>
  <c r="U6" i="1" l="1"/>
  <c r="U5" i="1"/>
  <c r="U4" i="1"/>
  <c r="U3" i="1"/>
  <c r="P70" i="1" l="1"/>
  <c r="T75" i="1" l="1"/>
  <c r="N70" i="1" l="1"/>
  <c r="O70" i="1" s="1"/>
  <c r="T65" i="1" l="1"/>
  <c r="T54" i="1" l="1"/>
  <c r="T44" i="1"/>
  <c r="M190" i="1" l="1"/>
  <c r="L190" i="1"/>
  <c r="K190" i="1"/>
  <c r="S189" i="1"/>
  <c r="R189" i="1"/>
  <c r="Q189" i="1"/>
  <c r="M189" i="1"/>
  <c r="L189" i="1"/>
  <c r="K189" i="1"/>
  <c r="J189" i="1"/>
  <c r="P185" i="1"/>
  <c r="N185" i="1"/>
  <c r="P179" i="1"/>
  <c r="N179" i="1"/>
  <c r="P183" i="1"/>
  <c r="N183" i="1"/>
  <c r="P186" i="1"/>
  <c r="N186" i="1"/>
  <c r="P182" i="1"/>
  <c r="N182" i="1"/>
  <c r="P180" i="1"/>
  <c r="N180" i="1"/>
  <c r="O183" i="1" l="1"/>
  <c r="N189" i="1"/>
  <c r="P189" i="1"/>
  <c r="N190" i="1"/>
  <c r="P190" i="1"/>
  <c r="K191" i="1"/>
  <c r="O185" i="1"/>
  <c r="O179" i="1"/>
  <c r="O186" i="1"/>
  <c r="O180" i="1"/>
  <c r="O182" i="1"/>
  <c r="O190" i="1" l="1"/>
  <c r="N191" i="1" s="1"/>
  <c r="O189" i="1"/>
  <c r="U29" i="1" l="1"/>
  <c r="U28" i="1"/>
  <c r="P89" i="1" l="1"/>
  <c r="N89" i="1"/>
  <c r="P74" i="1"/>
  <c r="P73" i="1"/>
  <c r="P72" i="1"/>
  <c r="P116" i="1" s="1"/>
  <c r="P71" i="1"/>
  <c r="P115" i="1" s="1"/>
  <c r="O89" i="1" l="1"/>
  <c r="S150" i="1"/>
  <c r="S152" i="1" s="1"/>
  <c r="R150" i="1"/>
  <c r="R152" i="1" s="1"/>
  <c r="Q150" i="1"/>
  <c r="Q152" i="1" s="1"/>
  <c r="M150" i="1"/>
  <c r="M152" i="1" s="1"/>
  <c r="L150" i="1"/>
  <c r="L152" i="1" s="1"/>
  <c r="K150" i="1"/>
  <c r="K152" i="1" s="1"/>
  <c r="J150" i="1"/>
  <c r="J152" i="1" s="1"/>
  <c r="A150" i="1"/>
  <c r="S136" i="1"/>
  <c r="R136" i="1"/>
  <c r="Q136" i="1"/>
  <c r="P136" i="1"/>
  <c r="M136" i="1"/>
  <c r="L136" i="1"/>
  <c r="K136" i="1"/>
  <c r="J136" i="1"/>
  <c r="A136" i="1"/>
  <c r="S135" i="1"/>
  <c r="R135" i="1"/>
  <c r="Q135" i="1"/>
  <c r="M135" i="1"/>
  <c r="L135" i="1"/>
  <c r="K135" i="1"/>
  <c r="J135" i="1"/>
  <c r="A135" i="1"/>
  <c r="S134" i="1"/>
  <c r="R134" i="1"/>
  <c r="Q134" i="1"/>
  <c r="M134" i="1"/>
  <c r="L134" i="1"/>
  <c r="K134" i="1"/>
  <c r="J134" i="1"/>
  <c r="A134" i="1"/>
  <c r="S131" i="1"/>
  <c r="R131" i="1"/>
  <c r="Q131" i="1"/>
  <c r="M131" i="1"/>
  <c r="L131" i="1"/>
  <c r="K131" i="1"/>
  <c r="J131" i="1"/>
  <c r="A131" i="1"/>
  <c r="S130" i="1"/>
  <c r="R130" i="1"/>
  <c r="Q130" i="1"/>
  <c r="M130" i="1"/>
  <c r="L130" i="1"/>
  <c r="K130" i="1"/>
  <c r="J130" i="1"/>
  <c r="A130" i="1"/>
  <c r="S129" i="1"/>
  <c r="R129" i="1"/>
  <c r="Q129" i="1"/>
  <c r="M129" i="1"/>
  <c r="L129" i="1"/>
  <c r="K129" i="1"/>
  <c r="J129" i="1"/>
  <c r="A129" i="1"/>
  <c r="S111" i="1" l="1"/>
  <c r="R111" i="1"/>
  <c r="Q111" i="1"/>
  <c r="M111" i="1"/>
  <c r="L111" i="1"/>
  <c r="K111" i="1"/>
  <c r="J111" i="1"/>
  <c r="A111" i="1"/>
  <c r="S110" i="1"/>
  <c r="R110" i="1"/>
  <c r="Q110" i="1"/>
  <c r="M110" i="1"/>
  <c r="L110" i="1"/>
  <c r="K110" i="1"/>
  <c r="J110" i="1"/>
  <c r="A110" i="1"/>
  <c r="S109" i="1"/>
  <c r="R109" i="1"/>
  <c r="Q109" i="1"/>
  <c r="M109" i="1"/>
  <c r="L109" i="1"/>
  <c r="K109" i="1"/>
  <c r="J109" i="1"/>
  <c r="A109" i="1"/>
  <c r="S108" i="1"/>
  <c r="R108" i="1"/>
  <c r="Q108" i="1"/>
  <c r="M108" i="1"/>
  <c r="L108" i="1"/>
  <c r="K108" i="1"/>
  <c r="J108" i="1"/>
  <c r="A108" i="1"/>
  <c r="S104" i="1"/>
  <c r="R104" i="1"/>
  <c r="Q104" i="1"/>
  <c r="M104" i="1"/>
  <c r="L104" i="1"/>
  <c r="K104" i="1"/>
  <c r="J104" i="1"/>
  <c r="A104" i="1"/>
  <c r="S103" i="1"/>
  <c r="R103" i="1"/>
  <c r="Q103" i="1"/>
  <c r="M103" i="1"/>
  <c r="L103" i="1"/>
  <c r="K103" i="1"/>
  <c r="J103" i="1"/>
  <c r="A103" i="1"/>
  <c r="N43" i="1" l="1"/>
  <c r="P43" i="1"/>
  <c r="S155" i="1"/>
  <c r="S156" i="1" s="1"/>
  <c r="R155" i="1"/>
  <c r="R156" i="1" s="1"/>
  <c r="Q155" i="1"/>
  <c r="Q156" i="1" s="1"/>
  <c r="M155" i="1"/>
  <c r="L155" i="1"/>
  <c r="K155" i="1"/>
  <c r="J155" i="1"/>
  <c r="S138" i="1"/>
  <c r="R138" i="1"/>
  <c r="Q138" i="1"/>
  <c r="M138" i="1"/>
  <c r="L138" i="1"/>
  <c r="K138" i="1"/>
  <c r="J138" i="1"/>
  <c r="S132" i="1"/>
  <c r="R132" i="1"/>
  <c r="Q132" i="1"/>
  <c r="M132" i="1"/>
  <c r="L132" i="1"/>
  <c r="K132" i="1"/>
  <c r="J132" i="1"/>
  <c r="P88" i="1"/>
  <c r="N84" i="1"/>
  <c r="N86" i="1"/>
  <c r="P53" i="1"/>
  <c r="N53" i="1"/>
  <c r="N131" i="1" s="1"/>
  <c r="N88" i="1"/>
  <c r="P86" i="1"/>
  <c r="P84" i="1"/>
  <c r="S75" i="1"/>
  <c r="R75" i="1"/>
  <c r="Q75" i="1"/>
  <c r="M75" i="1"/>
  <c r="L75" i="1"/>
  <c r="K75" i="1"/>
  <c r="J75" i="1"/>
  <c r="N74" i="1"/>
  <c r="N73" i="1"/>
  <c r="N135" i="1" s="1"/>
  <c r="N72" i="1"/>
  <c r="N116" i="1" s="1"/>
  <c r="N71" i="1"/>
  <c r="N115" i="1" s="1"/>
  <c r="S65" i="1"/>
  <c r="R65" i="1"/>
  <c r="Q65" i="1"/>
  <c r="M65" i="1"/>
  <c r="L65" i="1"/>
  <c r="K65" i="1"/>
  <c r="J65" i="1"/>
  <c r="P64" i="1"/>
  <c r="P111" i="1" s="1"/>
  <c r="N64" i="1"/>
  <c r="N111" i="1" s="1"/>
  <c r="P63" i="1"/>
  <c r="N63" i="1"/>
  <c r="N110" i="1" s="1"/>
  <c r="P62" i="1"/>
  <c r="N62" i="1"/>
  <c r="P61" i="1"/>
  <c r="N61" i="1"/>
  <c r="S54" i="1"/>
  <c r="R54" i="1"/>
  <c r="Q54" i="1"/>
  <c r="M54" i="1"/>
  <c r="L54" i="1"/>
  <c r="K54" i="1"/>
  <c r="J54" i="1"/>
  <c r="P52" i="1"/>
  <c r="N52" i="1"/>
  <c r="P51" i="1"/>
  <c r="N51" i="1"/>
  <c r="P50" i="1"/>
  <c r="P151" i="1" s="1"/>
  <c r="N50" i="1"/>
  <c r="N151" i="1" s="1"/>
  <c r="P49" i="1"/>
  <c r="P105" i="1" s="1"/>
  <c r="N49" i="1"/>
  <c r="N105" i="1" s="1"/>
  <c r="N42" i="1"/>
  <c r="N41" i="1"/>
  <c r="N40" i="1"/>
  <c r="K44" i="1"/>
  <c r="P42" i="1"/>
  <c r="P41" i="1"/>
  <c r="S44" i="1"/>
  <c r="R44" i="1"/>
  <c r="Q44" i="1"/>
  <c r="P40" i="1"/>
  <c r="M44" i="1"/>
  <c r="L44" i="1"/>
  <c r="J44" i="1"/>
  <c r="R169" i="1" l="1"/>
  <c r="N108" i="1"/>
  <c r="N109" i="1"/>
  <c r="P103" i="1"/>
  <c r="N103" i="1"/>
  <c r="P104" i="1"/>
  <c r="N104" i="1"/>
  <c r="P131" i="1"/>
  <c r="P135" i="1"/>
  <c r="P155" i="1"/>
  <c r="P109" i="1"/>
  <c r="P110" i="1"/>
  <c r="N136" i="1"/>
  <c r="N130" i="1"/>
  <c r="P130" i="1"/>
  <c r="P150" i="1"/>
  <c r="P152" i="1" s="1"/>
  <c r="N150" i="1"/>
  <c r="N152" i="1" s="1"/>
  <c r="P108" i="1"/>
  <c r="N91" i="1"/>
  <c r="N92" i="1"/>
  <c r="J170" i="1" s="1"/>
  <c r="P92" i="1"/>
  <c r="P91" i="1"/>
  <c r="O84" i="1"/>
  <c r="U75" i="1"/>
  <c r="U54" i="1"/>
  <c r="R171" i="1"/>
  <c r="U44" i="1"/>
  <c r="N65" i="1"/>
  <c r="S169" i="1"/>
  <c r="S171" i="1" s="1"/>
  <c r="U65" i="1"/>
  <c r="O86" i="1"/>
  <c r="S139" i="1"/>
  <c r="P65" i="1"/>
  <c r="O50" i="1"/>
  <c r="O151" i="1" s="1"/>
  <c r="O51" i="1"/>
  <c r="O52" i="1"/>
  <c r="O63" i="1"/>
  <c r="O64" i="1"/>
  <c r="O88" i="1"/>
  <c r="M139" i="1"/>
  <c r="L156" i="1"/>
  <c r="J139" i="1"/>
  <c r="L139" i="1"/>
  <c r="Q139" i="1"/>
  <c r="K140" i="1"/>
  <c r="M140" i="1"/>
  <c r="R139" i="1"/>
  <c r="M157" i="1"/>
  <c r="N134" i="1"/>
  <c r="N129" i="1"/>
  <c r="N114" i="1"/>
  <c r="N117" i="1" s="1"/>
  <c r="P54" i="1"/>
  <c r="O71" i="1"/>
  <c r="O115" i="1" s="1"/>
  <c r="O73" i="1"/>
  <c r="P134" i="1"/>
  <c r="P129" i="1"/>
  <c r="P114" i="1"/>
  <c r="P117" i="1" s="1"/>
  <c r="L140" i="1"/>
  <c r="O43" i="1"/>
  <c r="N44" i="1"/>
  <c r="O40" i="1"/>
  <c r="J156" i="1"/>
  <c r="L157" i="1"/>
  <c r="M112" i="1"/>
  <c r="M118" i="1" s="1"/>
  <c r="K112" i="1"/>
  <c r="K118" i="1" s="1"/>
  <c r="R112" i="1"/>
  <c r="R118" i="1" s="1"/>
  <c r="L112" i="1"/>
  <c r="L118" i="1" s="1"/>
  <c r="Q112" i="1"/>
  <c r="Q118" i="1" s="1"/>
  <c r="S112" i="1"/>
  <c r="S118" i="1" s="1"/>
  <c r="O61" i="1"/>
  <c r="J112" i="1"/>
  <c r="J118" i="1" s="1"/>
  <c r="O42" i="1"/>
  <c r="N75" i="1"/>
  <c r="P44" i="1"/>
  <c r="O49" i="1"/>
  <c r="O105" i="1" s="1"/>
  <c r="O41" i="1"/>
  <c r="N54" i="1"/>
  <c r="O62" i="1"/>
  <c r="O72" i="1"/>
  <c r="O116" i="1" s="1"/>
  <c r="O74" i="1"/>
  <c r="O53" i="1"/>
  <c r="O131" i="1" s="1"/>
  <c r="K93" i="1"/>
  <c r="P75" i="1"/>
  <c r="K139" i="1"/>
  <c r="M156" i="1"/>
  <c r="K157" i="1"/>
  <c r="K156" i="1"/>
  <c r="O103" i="1" l="1"/>
  <c r="O104" i="1"/>
  <c r="P138" i="1"/>
  <c r="O135" i="1"/>
  <c r="O111" i="1"/>
  <c r="O109" i="1"/>
  <c r="O110" i="1"/>
  <c r="N138" i="1"/>
  <c r="O136" i="1"/>
  <c r="O130" i="1"/>
  <c r="N155" i="1"/>
  <c r="O150" i="1"/>
  <c r="O152" i="1" s="1"/>
  <c r="O108" i="1"/>
  <c r="O92" i="1"/>
  <c r="O91" i="1"/>
  <c r="J169" i="1"/>
  <c r="H170" i="1"/>
  <c r="P132" i="1"/>
  <c r="K158" i="1"/>
  <c r="K141" i="1"/>
  <c r="P156" i="1"/>
  <c r="P112" i="1"/>
  <c r="P119" i="1" s="1"/>
  <c r="P157" i="1"/>
  <c r="K119" i="1"/>
  <c r="O129" i="1"/>
  <c r="O134" i="1"/>
  <c r="O114" i="1"/>
  <c r="O117" i="1" s="1"/>
  <c r="N132" i="1"/>
  <c r="N112" i="1"/>
  <c r="N118" i="1" s="1"/>
  <c r="M119" i="1"/>
  <c r="L119" i="1"/>
  <c r="O54" i="1"/>
  <c r="O44" i="1"/>
  <c r="O75" i="1"/>
  <c r="O65" i="1"/>
  <c r="N156" i="1" l="1"/>
  <c r="O138" i="1"/>
  <c r="N157" i="1"/>
  <c r="O155" i="1"/>
  <c r="N93" i="1"/>
  <c r="L170" i="1"/>
  <c r="L169" i="1"/>
  <c r="L171" i="1" s="1"/>
  <c r="N170" i="1"/>
  <c r="U170" i="1" s="1"/>
  <c r="P118" i="1"/>
  <c r="H169" i="1"/>
  <c r="J171" i="1"/>
  <c r="O132" i="1"/>
  <c r="P140" i="1"/>
  <c r="P139" i="1"/>
  <c r="K120" i="1"/>
  <c r="O112" i="1"/>
  <c r="O119" i="1" s="1"/>
  <c r="N140" i="1"/>
  <c r="N139" i="1"/>
  <c r="N119" i="1"/>
  <c r="O139" i="1" l="1"/>
  <c r="O156" i="1"/>
  <c r="O157" i="1"/>
  <c r="N158" i="1" s="1"/>
  <c r="N120" i="1"/>
  <c r="N169" i="1"/>
  <c r="N171" i="1" s="1"/>
  <c r="H171" i="1"/>
  <c r="P170" i="1" s="1"/>
  <c r="O118" i="1"/>
  <c r="O140" i="1"/>
  <c r="N141" i="1" s="1"/>
  <c r="P169" i="1" l="1"/>
  <c r="P171" i="1" s="1"/>
</calcChain>
</file>

<file path=xl/sharedStrings.xml><?xml version="1.0" encoding="utf-8"?>
<sst xmlns="http://schemas.openxmlformats.org/spreadsheetml/2006/main" count="413" uniqueCount="162">
  <si>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</si>
  <si>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</si>
  <si>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</si>
  <si>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</si>
  <si>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</si>
  <si>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</si>
  <si>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</si>
  <si>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</si>
  <si>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</si>
  <si>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</si>
  <si>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</si>
  <si>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</si>
  <si>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</si>
  <si>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</si>
  <si>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</si>
  <si>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</si>
  <si>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</si>
  <si>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</si>
  <si>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</si>
  <si>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</si>
  <si>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</si>
  <si>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</si>
  <si>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</si>
  <si>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</si>
  <si>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</si>
  <si>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</si>
  <si>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</si>
  <si>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</si>
  <si>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</si>
  <si>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</si>
  <si>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</si>
  <si>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</si>
  <si>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</si>
  <si>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</si>
  <si>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</si>
  <si>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</si>
  <si>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</si>
  <si>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</si>
  <si>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</si>
  <si>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</si>
  <si>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</si>
  <si>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</si>
  <si>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</si>
  <si>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</si>
  <si>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</si>
  <si>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</si>
  <si>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</si>
  <si>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</si>
  <si>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 xml:space="preserve">TOTAL ORE FIZICE / TOTAL ORE ALOCATE STUDIULUI </t>
  </si>
  <si>
    <t xml:space="preserve">Anexă la Planul de Învățământ specializarea / programul de studiu: 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</si>
  <si>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</si>
  <si>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</si>
  <si>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</si>
  <si>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</si>
  <si>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</si>
  <si>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</si>
  <si>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</si>
  <si>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</si>
  <si>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</si>
  <si>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</si>
  <si>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</si>
  <si>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</si>
  <si>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</si>
  <si>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</si>
  <si>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</si>
  <si>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</si>
  <si>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</si>
  <si>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DISCIPLINE COMPLEMENTARE (DC)</t>
  </si>
  <si>
    <t>XND 1101</t>
  </si>
  <si>
    <t>XND 1102</t>
  </si>
  <si>
    <t>XND 1203</t>
  </si>
  <si>
    <t>XND 1204</t>
  </si>
  <si>
    <t>Examen de absolvire: Nivelul II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</si>
  <si>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</si>
  <si>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</si>
  <si>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</si>
  <si>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</si>
  <si>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</si>
  <si>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</si>
  <si>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MODUL PEDAGOCIC - Nivelul II: 30 de credite ECTS  + 5 credite ECTS aferente examenului de absolvire</t>
  </si>
  <si>
    <t>Psihopedagogia adolescenţilor, tinerilor şi adulţilor</t>
  </si>
  <si>
    <t>Proiectarea şi managementul programelor educaţionale</t>
  </si>
  <si>
    <t>DP</t>
  </si>
  <si>
    <t>DO</t>
  </si>
  <si>
    <t xml:space="preserve">Practică pedagogică (în învăţământul liceal, postliceal şi universitar)
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</si>
  <si>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</si>
  <si>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</si>
  <si>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</si>
  <si>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</si>
  <si>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</si>
  <si>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Verificați standardele specifice domeniului dumneavoastră pentru a evita incongruențele.</t>
  </si>
  <si>
    <t>ÎN TOATE TABELELE DIN ACEASTĂ MACHETĂ, TREBUIE SĂ INTRODUCEȚI  DATE NUMAI ÎN CELULELE MARCATE CU GALBEN</t>
  </si>
  <si>
    <t>Tabelele/rândurile necompletate se șterg sau se ascund (dacă afectează formulele) HIDE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</si>
  <si>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
</t>
    </r>
  </si>
  <si>
    <t>Didactica domeniului şi dezvoltăriI în didactica specialităţii (învăţământ liceal, postliceal, universitar)</t>
  </si>
  <si>
    <t>Disciplină opțională 1</t>
  </si>
  <si>
    <t>Disciplină opțională 2</t>
  </si>
  <si>
    <t>Titlul absolventului: MASTER</t>
  </si>
  <si>
    <t>DA</t>
  </si>
  <si>
    <t>DSIN</t>
  </si>
  <si>
    <t>DISCIPLINE DE SPECIALITATE  (DS)</t>
  </si>
  <si>
    <r>
      <t>12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de credite la disciplinele opţionale;</t>
    </r>
  </si>
  <si>
    <r>
      <rPr>
        <b/>
        <sz val="10"/>
        <color indexed="8"/>
        <rFont val="Times New Roman"/>
        <family val="1"/>
      </rPr>
      <t xml:space="preserve">108 </t>
    </r>
    <r>
      <rPr>
        <sz val="10"/>
        <color indexed="8"/>
        <rFont val="Times New Roman"/>
        <family val="1"/>
      </rPr>
      <t>de credite la disciplinele obligatorii;</t>
    </r>
  </si>
  <si>
    <t>MMM3088</t>
  </si>
  <si>
    <t>Capitole speciale de didactică modernă I .</t>
  </si>
  <si>
    <t>MMM3034</t>
  </si>
  <si>
    <t>Inegalități geometrice</t>
  </si>
  <si>
    <t>MMM3085</t>
  </si>
  <si>
    <t>Analiza fenomenelor stocastice</t>
  </si>
  <si>
    <t>MMM3012</t>
  </si>
  <si>
    <t>Aspecte metodice în analiza elementară I</t>
  </si>
  <si>
    <t>MMM3089</t>
  </si>
  <si>
    <t>Numere complexe şi aplicaţii în geometrie</t>
  </si>
  <si>
    <t>MMM3124</t>
  </si>
  <si>
    <t>Aspecte metodice în predarea algebrei</t>
  </si>
  <si>
    <t>MMM3097</t>
  </si>
  <si>
    <t>Matematică discretă</t>
  </si>
  <si>
    <t>MMM3402</t>
  </si>
  <si>
    <t>Elaborarea lucrării de disertaţie</t>
  </si>
  <si>
    <t>MMX4601</t>
  </si>
  <si>
    <t>Curs opţional 1</t>
  </si>
  <si>
    <t>MMM9012</t>
  </si>
  <si>
    <t>Practică în specialitate</t>
  </si>
  <si>
    <t>MME3125</t>
  </si>
  <si>
    <t>Șiruri recurente (lb. de predare engleză)</t>
  </si>
  <si>
    <t>MMM3033</t>
  </si>
  <si>
    <t>Construcții geometrice</t>
  </si>
  <si>
    <t>MME3057</t>
  </si>
  <si>
    <t>Instruire asistată de calculator (lb. de predare engleză)</t>
  </si>
  <si>
    <t>Aspecte metodice în analiza elementară II</t>
  </si>
  <si>
    <t>MMM3037</t>
  </si>
  <si>
    <t>Teoreme clasice în geometria elementară</t>
  </si>
  <si>
    <t>MMM3058</t>
  </si>
  <si>
    <t>Capitole speciale de didactică matematică II</t>
  </si>
  <si>
    <t>MMM3069</t>
  </si>
  <si>
    <t>Matematică aplicată în liceu</t>
  </si>
  <si>
    <t>MMX4602</t>
  </si>
  <si>
    <t>Curs opţional 2</t>
  </si>
  <si>
    <t>MMM3091</t>
  </si>
  <si>
    <t>Metodologia rezolvării problemelor de matematică</t>
  </si>
  <si>
    <t>MMM3063</t>
  </si>
  <si>
    <t>Metode alternative în predarea matematicii</t>
  </si>
  <si>
    <t>MMM3013</t>
  </si>
  <si>
    <t>Rolul contraexemplelor în predarea analizei matematice</t>
  </si>
  <si>
    <t>MMM3126</t>
  </si>
  <si>
    <t>Evaluarea cunoștințelor matematice în gimnaziu și liceu</t>
  </si>
  <si>
    <t>MMM3079</t>
  </si>
  <si>
    <t>Metodologia rezolvarii problemelor de informatica</t>
  </si>
  <si>
    <t>CURS OPȚIONAL 2 (An II, Semestrul 4)- (MMX4602)</t>
  </si>
  <si>
    <t>Sem. 2: Se alege  o disciplină din pachetul: MMX4601</t>
  </si>
  <si>
    <t>Sem. 4: Se alege  o disciplină din pachetul: MMX4602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</si>
  <si>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Planul de învăţământ urmează în proporţie de 60% planurile de învăţământ ale………………………….…………..……..
Universității din Antwerpen  ....................................…...
Universității din Copenhaga...............................……….. 
Universității din Twente....................…………………….. 
………………………………...........................................…..
……………............................................……………………..                                                                                                ……………............................................…………………….. </t>
    </r>
  </si>
  <si>
    <t>FACULTATEA DE MATEMATICĂ ȘI INFORMATICĂ</t>
  </si>
  <si>
    <t>Domeniul:  MATEMATICĂ</t>
  </si>
  <si>
    <t>Specializarea/Programul de studiu: MATEMATICĂ DIDACTICĂ</t>
  </si>
  <si>
    <t>Limba de predare: MAGHIARĂ</t>
  </si>
  <si>
    <t>PLAN DE ÎNVĂŢĂMÂNT  valabil începând din anul universitar 2019-2020</t>
  </si>
  <si>
    <t>CURS OPȚIONAL 1 (An I, Semestrul 2) - (MMX4602)</t>
  </si>
  <si>
    <t>MMM3090</t>
  </si>
  <si>
    <t>În contul a cel mult o disciplina opţionala generala, studentul are dreptul să aleagă o disciplina de la alte specializări ale facultăţilor din Universitatea „Babeş-Bolyai”, respectând condiționările din planurile de învățământ ale respectivelor specializări.</t>
  </si>
  <si>
    <t>Nota:</t>
  </si>
  <si>
    <t>1) 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                                                                                                      2) Practica de specialitate se desfasoara pe o durata de 42 de 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</si>
</sst>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charset val="238"/>
      <scheme val="minor"/>
    </font>
    <font>
      <sz val="10"/>
      <color rgb="FFFF0000"/>
      <name val="Times New Roman"/>
      <family val="1"/>
    </font>
    <font>
      <sz val="10"/>
      <color indexed="8"/>
      <name val="Arial"/>
    </font>
    <font>
      <sz val="10"/>
      <color indexed="8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238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center" vertical="center"/>
    </xf>
    <xf numFmtId="1" fontId="2" fillId="5" borderId="1" xfId="0" applyNumberFormat="1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locked="0"/>
    </xf>
    <xf numFmtId="1" fontId="11" fillId="5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16" fillId="3" borderId="1" xfId="1" applyFont="1" applyFill="1" applyBorder="1" applyAlignment="1" applyProtection="1">
      <alignment horizontal="left" vertical="center"/>
      <protection locked="0"/>
    </xf>
    <xf numFmtId="0" fontId="16" fillId="3" borderId="1" xfId="1" applyFont="1" applyFill="1" applyBorder="1" applyAlignment="1" applyProtection="1">
      <alignment horizontal="center" vertical="center"/>
      <protection locked="0"/>
    </xf>
    <xf numFmtId="0" fontId="16" fillId="3" borderId="1" xfId="2" applyFont="1" applyFill="1" applyBorder="1" applyAlignment="1" applyProtection="1">
      <alignment horizontal="left" vertical="center"/>
      <protection locked="0"/>
    </xf>
    <xf numFmtId="0" fontId="16" fillId="3" borderId="1" xfId="2" applyFont="1" applyFill="1" applyBorder="1" applyAlignment="1" applyProtection="1">
      <alignment horizontal="center" vertical="center"/>
      <protection locked="0"/>
    </xf>
    <xf numFmtId="1" fontId="16" fillId="3" borderId="1" xfId="1" applyNumberFormat="1" applyFont="1" applyFill="1" applyBorder="1" applyAlignment="1" applyProtection="1">
      <alignment horizontal="left" vertical="center"/>
      <protection locked="0"/>
    </xf>
    <xf numFmtId="1" fontId="16" fillId="3" borderId="2" xfId="1" applyNumberFormat="1" applyFont="1" applyFill="1" applyBorder="1" applyAlignment="1" applyProtection="1">
      <alignment horizontal="left" vertical="center"/>
      <protection locked="0"/>
    </xf>
    <xf numFmtId="1" fontId="16" fillId="3" borderId="5" xfId="1" applyNumberFormat="1" applyFont="1" applyFill="1" applyBorder="1" applyAlignment="1" applyProtection="1">
      <alignment horizontal="left" vertical="center"/>
      <protection locked="0"/>
    </xf>
    <xf numFmtId="1" fontId="16" fillId="3" borderId="6" xfId="1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top" wrapText="1"/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1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" fontId="1" fillId="5" borderId="5" xfId="0" applyNumberFormat="1" applyFont="1" applyFill="1" applyBorder="1" applyAlignment="1" applyProtection="1">
      <alignment horizontal="left" vertical="center"/>
      <protection locked="0"/>
    </xf>
    <xf numFmtId="1" fontId="1" fillId="5" borderId="6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/>
    <xf numFmtId="0" fontId="10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" fontId="2" fillId="5" borderId="2" xfId="0" applyNumberFormat="1" applyFont="1" applyFill="1" applyBorder="1" applyAlignment="1" applyProtection="1">
      <alignment horizontal="center" vertical="center"/>
      <protection locked="0"/>
    </xf>
    <xf numFmtId="1" fontId="2" fillId="5" borderId="5" xfId="0" applyNumberFormat="1" applyFont="1" applyFill="1" applyBorder="1" applyAlignment="1" applyProtection="1">
      <alignment horizontal="center" vertical="center"/>
      <protection locked="0"/>
    </xf>
    <xf numFmtId="1" fontId="2" fillId="5" borderId="6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5" borderId="6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2" fillId="5" borderId="11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8" xfId="0" applyFont="1" applyFill="1" applyBorder="1" applyAlignment="1" applyProtection="1">
      <alignment horizontal="left" vertical="center" wrapText="1"/>
    </xf>
    <xf numFmtId="2" fontId="1" fillId="5" borderId="9" xfId="0" applyNumberFormat="1" applyFont="1" applyFill="1" applyBorder="1" applyAlignment="1" applyProtection="1">
      <alignment horizontal="center" vertical="center"/>
    </xf>
    <xf numFmtId="2" fontId="1" fillId="5" borderId="4" xfId="0" applyNumberFormat="1" applyFont="1" applyFill="1" applyBorder="1" applyAlignment="1" applyProtection="1">
      <alignment horizontal="center" vertical="center"/>
    </xf>
    <xf numFmtId="2" fontId="1" fillId="5" borderId="10" xfId="0" applyNumberFormat="1" applyFont="1" applyFill="1" applyBorder="1" applyAlignment="1" applyProtection="1">
      <alignment horizontal="center" vertical="center"/>
    </xf>
    <xf numFmtId="2" fontId="1" fillId="5" borderId="11" xfId="0" applyNumberFormat="1" applyFont="1" applyFill="1" applyBorder="1" applyAlignment="1" applyProtection="1">
      <alignment horizontal="center" vertical="center"/>
    </xf>
    <xf numFmtId="2" fontId="1" fillId="5" borderId="7" xfId="0" applyNumberFormat="1" applyFont="1" applyFill="1" applyBorder="1" applyAlignment="1" applyProtection="1">
      <alignment horizontal="center" vertical="center"/>
    </xf>
    <xf numFmtId="2" fontId="1" fillId="5" borderId="8" xfId="0" applyNumberFormat="1" applyFont="1" applyFill="1" applyBorder="1" applyAlignment="1" applyProtection="1">
      <alignment horizontal="center" vertical="center"/>
    </xf>
    <xf numFmtId="1" fontId="2" fillId="5" borderId="2" xfId="0" applyNumberFormat="1" applyFont="1" applyFill="1" applyBorder="1" applyAlignment="1" applyProtection="1">
      <alignment horizontal="center" vertical="center"/>
    </xf>
    <xf numFmtId="1" fontId="2" fillId="5" borderId="5" xfId="0" applyNumberFormat="1" applyFont="1" applyFill="1" applyBorder="1" applyAlignment="1" applyProtection="1">
      <alignment horizontal="center" vertical="center"/>
    </xf>
    <xf numFmtId="1" fontId="2" fillId="5" borderId="6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9" fontId="8" fillId="0" borderId="2" xfId="0" applyNumberFormat="1" applyFont="1" applyBorder="1" applyAlignment="1" applyProtection="1">
      <alignment horizontal="center" vertical="center"/>
    </xf>
    <xf numFmtId="9" fontId="8" fillId="0" borderId="6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9" fillId="0" borderId="2" xfId="0" applyNumberFormat="1" applyFont="1" applyBorder="1" applyAlignment="1" applyProtection="1">
      <alignment horizontal="center"/>
    </xf>
    <xf numFmtId="9" fontId="9" fillId="0" borderId="6" xfId="0" applyNumberFormat="1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2" fillId="0" borderId="7" xfId="0" applyFont="1" applyBorder="1" applyProtection="1"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center" vertical="center"/>
    </xf>
    <xf numFmtId="0" fontId="16" fillId="3" borderId="2" xfId="1" applyFont="1" applyFill="1" applyBorder="1" applyAlignment="1" applyProtection="1">
      <alignment horizontal="left" vertical="center"/>
      <protection locked="0"/>
    </xf>
    <xf numFmtId="0" fontId="16" fillId="3" borderId="5" xfId="1" applyFont="1" applyFill="1" applyBorder="1" applyAlignment="1" applyProtection="1">
      <alignment horizontal="left" vertical="center"/>
      <protection locked="0"/>
    </xf>
    <xf numFmtId="0" fontId="16" fillId="3" borderId="6" xfId="1" applyFont="1" applyFill="1" applyBorder="1" applyAlignment="1" applyProtection="1">
      <alignment horizontal="left" vertical="center"/>
      <protection locked="0"/>
    </xf>
    <xf numFmtId="1" fontId="16" fillId="3" borderId="2" xfId="1" applyNumberFormat="1" applyFont="1" applyFill="1" applyBorder="1" applyAlignment="1" applyProtection="1">
      <alignment horizontal="left" vertical="center"/>
      <protection locked="0"/>
    </xf>
    <xf numFmtId="1" fontId="16" fillId="3" borderId="5" xfId="1" applyNumberFormat="1" applyFont="1" applyFill="1" applyBorder="1" applyAlignment="1" applyProtection="1">
      <alignment horizontal="left" vertical="center"/>
      <protection locked="0"/>
    </xf>
    <xf numFmtId="1" fontId="16" fillId="3" borderId="6" xfId="1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8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8" borderId="0" xfId="0" applyFont="1" applyFill="1" applyAlignment="1" applyProtection="1">
      <alignment vertical="center" wrapText="1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4" borderId="14" xfId="0" applyFont="1" applyFill="1" applyBorder="1" applyAlignment="1" applyProtection="1">
      <alignment wrapText="1"/>
    </xf>
    <xf numFmtId="0" fontId="1" fillId="4" borderId="0" xfId="0" applyFont="1" applyFill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1" fillId="0" borderId="14" xfId="0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2" fillId="6" borderId="0" xfId="0" applyFont="1" applyFill="1" applyAlignment="1" applyProtection="1">
      <alignment vertical="center" wrapText="1"/>
      <protection locked="0"/>
    </xf>
    <xf numFmtId="0" fontId="13" fillId="6" borderId="0" xfId="0" applyFont="1" applyFill="1" applyAlignment="1">
      <alignment vertical="center" wrapText="1"/>
    </xf>
    <xf numFmtId="0" fontId="13" fillId="0" borderId="0" xfId="0" applyFont="1" applyAlignment="1"/>
    <xf numFmtId="0" fontId="2" fillId="7" borderId="0" xfId="0" applyFont="1" applyFill="1" applyAlignment="1" applyProtection="1">
      <alignment horizontal="left" vertical="top" wrapText="1"/>
      <protection locked="0"/>
    </xf>
    <xf numFmtId="0" fontId="12" fillId="7" borderId="0" xfId="0" applyFont="1" applyFill="1" applyAlignment="1" applyProtection="1">
      <alignment wrapText="1"/>
      <protection locked="0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 applyProtection="1">
      <protection locked="0"/>
    </xf>
    <xf numFmtId="0" fontId="0" fillId="0" borderId="0" xfId="0" applyAlignment="1"/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16" fillId="3" borderId="2" xfId="2" applyFont="1" applyFill="1" applyBorder="1" applyAlignment="1" applyProtection="1">
      <alignment horizontal="left" vertical="center"/>
      <protection locked="0"/>
    </xf>
    <xf numFmtId="0" fontId="16" fillId="3" borderId="5" xfId="2" applyFont="1" applyFill="1" applyBorder="1" applyAlignment="1" applyProtection="1">
      <alignment horizontal="left" vertical="center"/>
      <protection locked="0"/>
    </xf>
    <xf numFmtId="0" fontId="16" fillId="3" borderId="6" xfId="2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</cellXfs>
  <cellStyles count="3">
    <cellStyle name="Normal" xfId="0" builtinId="0"/>
    <cellStyle name="Normál_MateDidMagh" xfId="2" xr:uid="{00000000-0005-0000-0000-000001000000}"/>
    <cellStyle name="Normál_Sheet1" xfId="1" xr:uid="{00000000-0005-0000-0000-000002000000}"/>
  </cellStyles>
  <dxfs count="24"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0"/>
  <sheetViews>
    <sheetView tabSelected="1" view="pageLayout" topLeftCell="A129" zoomScaleNormal="100" workbookViewId="0">
      <selection activeCell="M31" sqref="M31"/>
    </sheetView>
  </sheetViews>
  <sheetFormatPr defaultColWidth="9.109375" defaultRowHeight="13.2" x14ac:dyDescent="0.25"/>
  <cols>
    <col min="1" max="1" width="9.33203125" style="1" customWidth="1"/>
    <col min="2" max="2" width="7.109375" style="1" customWidth="1"/>
    <col min="3" max="3" width="7.33203125" style="1" customWidth="1"/>
    <col min="4" max="5" width="4.6640625" style="1" customWidth="1"/>
    <col min="6" max="6" width="4.5546875" style="1" customWidth="1"/>
    <col min="7" max="7" width="8.109375" style="1" customWidth="1"/>
    <col min="8" max="8" width="8.33203125" style="1" customWidth="1"/>
    <col min="9" max="9" width="5.88671875" style="1" customWidth="1"/>
    <col min="10" max="10" width="7.33203125" style="1" customWidth="1"/>
    <col min="11" max="11" width="5.6640625" style="1" customWidth="1"/>
    <col min="12" max="12" width="6.109375" style="1" customWidth="1"/>
    <col min="13" max="13" width="5.5546875" style="1" customWidth="1"/>
    <col min="14" max="18" width="6" style="1" customWidth="1"/>
    <col min="19" max="19" width="6.109375" style="1" customWidth="1"/>
    <col min="20" max="20" width="9.33203125" style="1" customWidth="1"/>
    <col min="21" max="26" width="9.109375" style="1"/>
    <col min="27" max="27" width="11" style="1" customWidth="1"/>
    <col min="28" max="16384" width="9.109375" style="1"/>
  </cols>
  <sheetData>
    <row r="1" spans="1:28" ht="15.75" customHeight="1" x14ac:dyDescent="0.25">
      <c r="A1" s="185" t="s">
        <v>156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M1" s="188" t="s">
        <v>19</v>
      </c>
      <c r="N1" s="188"/>
      <c r="O1" s="188"/>
      <c r="P1" s="188"/>
      <c r="Q1" s="188"/>
      <c r="R1" s="188"/>
      <c r="S1" s="188"/>
      <c r="T1" s="188"/>
    </row>
    <row r="2" spans="1:28" ht="6.75" customHeight="1" x14ac:dyDescent="0.2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28" ht="39" customHeight="1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M3" s="194"/>
      <c r="N3" s="195"/>
      <c r="O3" s="198" t="s">
        <v>35</v>
      </c>
      <c r="P3" s="199"/>
      <c r="Q3" s="200"/>
      <c r="R3" s="198" t="s">
        <v>36</v>
      </c>
      <c r="S3" s="199"/>
      <c r="T3" s="200"/>
      <c r="U3" s="210" t="str">
        <f>IF(O4&gt;=12,"Corect","Trebuie alocate cel puțin 12 de ore pe săptămână")</f>
        <v>Corect</v>
      </c>
      <c r="V3" s="211"/>
      <c r="W3" s="211"/>
      <c r="X3" s="211"/>
      <c r="Y3" s="1">
        <f>63*14+23*12</f>
        <v>1158</v>
      </c>
    </row>
    <row r="4" spans="1:28" ht="17.25" customHeight="1" x14ac:dyDescent="0.25">
      <c r="A4" s="190" t="s">
        <v>152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M4" s="196" t="s">
        <v>14</v>
      </c>
      <c r="N4" s="197"/>
      <c r="O4" s="202">
        <v>20</v>
      </c>
      <c r="P4" s="203"/>
      <c r="Q4" s="204"/>
      <c r="R4" s="202">
        <v>23</v>
      </c>
      <c r="S4" s="203"/>
      <c r="T4" s="204"/>
      <c r="U4" s="210" t="str">
        <f>IF(R4&gt;=12,"Corect","Trebuie alocate cel puțin 12 de ore pe săptămână")</f>
        <v>Corect</v>
      </c>
      <c r="V4" s="211"/>
      <c r="W4" s="211"/>
      <c r="X4" s="211"/>
    </row>
    <row r="5" spans="1:28" ht="16.5" customHeight="1" x14ac:dyDescent="0.2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M5" s="196" t="s">
        <v>15</v>
      </c>
      <c r="N5" s="197"/>
      <c r="O5" s="202">
        <v>20</v>
      </c>
      <c r="P5" s="203"/>
      <c r="Q5" s="204"/>
      <c r="R5" s="202">
        <v>23</v>
      </c>
      <c r="S5" s="203"/>
      <c r="T5" s="204"/>
      <c r="U5" s="210" t="str">
        <f>IF(O5&gt;=12,"Corect","Trebuie alocate cel puțin 12 de ore pe săptămână")</f>
        <v>Corect</v>
      </c>
      <c r="V5" s="211"/>
      <c r="W5" s="211"/>
      <c r="X5" s="211"/>
    </row>
    <row r="6" spans="1:28" ht="15" customHeight="1" x14ac:dyDescent="0.25">
      <c r="A6" s="201" t="s">
        <v>153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M6" s="206"/>
      <c r="N6" s="206"/>
      <c r="O6" s="205"/>
      <c r="P6" s="205"/>
      <c r="Q6" s="205"/>
      <c r="R6" s="205"/>
      <c r="S6" s="205"/>
      <c r="T6" s="205"/>
      <c r="U6" s="210" t="str">
        <f>IF(R5&gt;=12,"Corect","Trebuie alocate cel puțin 12 de ore pe săptămână")</f>
        <v>Corect</v>
      </c>
      <c r="V6" s="211"/>
      <c r="W6" s="211"/>
      <c r="X6" s="211"/>
    </row>
    <row r="7" spans="1:28" ht="18" customHeight="1" x14ac:dyDescent="0.25">
      <c r="A7" s="207" t="s">
        <v>154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</row>
    <row r="8" spans="1:28" ht="18.75" customHeight="1" x14ac:dyDescent="0.25">
      <c r="A8" s="208" t="s">
        <v>155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M8" s="209" t="s">
        <v>93</v>
      </c>
      <c r="N8" s="209"/>
      <c r="O8" s="209"/>
      <c r="P8" s="209"/>
      <c r="Q8" s="209"/>
      <c r="R8" s="209"/>
      <c r="S8" s="209"/>
      <c r="T8" s="209"/>
    </row>
    <row r="9" spans="1:28" ht="15" customHeight="1" x14ac:dyDescent="0.25">
      <c r="A9" s="193" t="s">
        <v>97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M9" s="209"/>
      <c r="N9" s="209"/>
      <c r="O9" s="209"/>
      <c r="P9" s="209"/>
      <c r="Q9" s="209"/>
      <c r="R9" s="209"/>
      <c r="S9" s="209"/>
      <c r="T9" s="209"/>
      <c r="U9" s="217" t="s">
        <v>90</v>
      </c>
      <c r="V9" s="218"/>
      <c r="W9" s="218"/>
      <c r="X9" s="219"/>
      <c r="Y9" s="219"/>
      <c r="Z9" s="219"/>
      <c r="AA9" s="51"/>
    </row>
    <row r="10" spans="1:28" ht="16.5" customHeight="1" x14ac:dyDescent="0.25">
      <c r="A10" s="193" t="s">
        <v>60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M10" s="209"/>
      <c r="N10" s="209"/>
      <c r="O10" s="209"/>
      <c r="P10" s="209"/>
      <c r="Q10" s="209"/>
      <c r="R10" s="209"/>
      <c r="S10" s="209"/>
      <c r="T10" s="209"/>
      <c r="U10" s="218"/>
      <c r="V10" s="218"/>
      <c r="W10" s="218"/>
      <c r="X10" s="219"/>
      <c r="Y10" s="219"/>
      <c r="Z10" s="219"/>
      <c r="AA10" s="51"/>
    </row>
    <row r="11" spans="1:28" x14ac:dyDescent="0.25">
      <c r="A11" s="193" t="s">
        <v>17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M11" s="209"/>
      <c r="N11" s="209"/>
      <c r="O11" s="209"/>
      <c r="P11" s="209"/>
      <c r="Q11" s="209"/>
      <c r="R11" s="209"/>
      <c r="S11" s="209"/>
      <c r="T11" s="209"/>
      <c r="U11" s="218"/>
      <c r="V11" s="218"/>
      <c r="W11" s="218"/>
      <c r="X11" s="219"/>
      <c r="Y11" s="219"/>
      <c r="Z11" s="219"/>
      <c r="AA11" s="51"/>
    </row>
    <row r="12" spans="1:28" ht="10.5" customHeight="1" x14ac:dyDescent="0.25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M12" s="2"/>
      <c r="N12" s="2"/>
      <c r="O12" s="2"/>
      <c r="P12" s="2"/>
      <c r="Q12" s="2"/>
      <c r="R12" s="2"/>
      <c r="U12" s="218"/>
      <c r="V12" s="218"/>
      <c r="W12" s="218"/>
      <c r="X12" s="219"/>
      <c r="Y12" s="219"/>
      <c r="Z12" s="219"/>
      <c r="AA12" s="51"/>
    </row>
    <row r="13" spans="1:28" x14ac:dyDescent="0.25">
      <c r="A13" s="215" t="s">
        <v>65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M13" s="216" t="s">
        <v>20</v>
      </c>
      <c r="N13" s="216"/>
      <c r="O13" s="216"/>
      <c r="P13" s="216"/>
      <c r="Q13" s="216"/>
      <c r="R13" s="216"/>
      <c r="S13" s="216"/>
      <c r="T13" s="216"/>
      <c r="U13" s="51"/>
      <c r="V13" s="51"/>
      <c r="W13" s="51"/>
      <c r="X13" s="51"/>
      <c r="Y13" s="51"/>
      <c r="Z13" s="51"/>
      <c r="AA13" s="51"/>
    </row>
    <row r="14" spans="1:28" ht="12.75" customHeight="1" x14ac:dyDescent="0.25">
      <c r="A14" s="215" t="s">
        <v>61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M14" s="189" t="s">
        <v>149</v>
      </c>
      <c r="N14" s="189"/>
      <c r="O14" s="189"/>
      <c r="P14" s="189"/>
      <c r="Q14" s="189"/>
      <c r="R14" s="189"/>
      <c r="S14" s="189"/>
      <c r="T14" s="189"/>
      <c r="U14" s="51"/>
      <c r="V14" s="51"/>
      <c r="W14" s="51"/>
      <c r="X14" s="51"/>
      <c r="Y14" s="51"/>
      <c r="Z14" s="51"/>
      <c r="AA14" s="51"/>
    </row>
    <row r="15" spans="1:28" ht="12.75" customHeight="1" x14ac:dyDescent="0.25">
      <c r="A15" s="208" t="s">
        <v>102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M15" s="189" t="s">
        <v>150</v>
      </c>
      <c r="N15" s="189"/>
      <c r="O15" s="189"/>
      <c r="P15" s="189"/>
      <c r="Q15" s="189"/>
      <c r="R15" s="189"/>
      <c r="S15" s="189"/>
      <c r="T15" s="189"/>
      <c r="U15" s="220" t="s">
        <v>91</v>
      </c>
      <c r="V15" s="220"/>
      <c r="W15" s="220"/>
      <c r="X15" s="220"/>
      <c r="Y15" s="220"/>
      <c r="Z15" s="220"/>
      <c r="AA15" s="51"/>
    </row>
    <row r="16" spans="1:28" ht="12.75" customHeight="1" x14ac:dyDescent="0.3">
      <c r="A16" s="208" t="s">
        <v>101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M16" s="189"/>
      <c r="N16" s="189"/>
      <c r="O16" s="189"/>
      <c r="P16" s="189"/>
      <c r="Q16" s="189"/>
      <c r="R16" s="189"/>
      <c r="S16" s="189"/>
      <c r="T16" s="189"/>
      <c r="U16" s="220"/>
      <c r="V16" s="220"/>
      <c r="W16" s="220"/>
      <c r="X16" s="220"/>
      <c r="Y16" s="220"/>
      <c r="Z16" s="220"/>
      <c r="AA16" s="224"/>
      <c r="AB16" s="225"/>
    </row>
    <row r="17" spans="1:27" ht="12.75" customHeight="1" x14ac:dyDescent="0.25">
      <c r="A17" s="193" t="s">
        <v>1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M17" s="187"/>
      <c r="N17" s="187"/>
      <c r="O17" s="187"/>
      <c r="P17" s="187"/>
      <c r="Q17" s="187"/>
      <c r="R17" s="187"/>
      <c r="S17" s="187"/>
      <c r="T17" s="187"/>
      <c r="U17" s="220"/>
      <c r="V17" s="220"/>
      <c r="W17" s="220"/>
      <c r="X17" s="220"/>
      <c r="Y17" s="220"/>
      <c r="Z17" s="220"/>
      <c r="AA17" s="51"/>
    </row>
    <row r="18" spans="1:27" ht="14.25" customHeight="1" x14ac:dyDescent="0.25">
      <c r="A18" s="193" t="s">
        <v>66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M18" s="187"/>
      <c r="N18" s="187"/>
      <c r="O18" s="187"/>
      <c r="P18" s="187"/>
      <c r="Q18" s="187"/>
      <c r="R18" s="187"/>
      <c r="S18" s="187"/>
      <c r="T18" s="187"/>
      <c r="U18" s="51"/>
      <c r="V18" s="51"/>
      <c r="W18" s="51"/>
      <c r="X18" s="51"/>
      <c r="Y18" s="51"/>
      <c r="Z18" s="51"/>
      <c r="AA18" s="51"/>
    </row>
    <row r="19" spans="1:27" x14ac:dyDescent="0.25">
      <c r="A19" s="193" t="s">
        <v>160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M19" s="187"/>
      <c r="N19" s="187"/>
      <c r="O19" s="187"/>
      <c r="P19" s="187"/>
      <c r="Q19" s="187"/>
      <c r="R19" s="187"/>
      <c r="S19" s="187"/>
      <c r="T19" s="187"/>
      <c r="U19" s="51"/>
      <c r="V19" s="51"/>
      <c r="W19" s="51"/>
      <c r="X19" s="51"/>
      <c r="Y19" s="51"/>
      <c r="Z19" s="51"/>
      <c r="AA19" s="51"/>
    </row>
    <row r="20" spans="1:27" ht="7.5" customHeight="1" x14ac:dyDescent="0.25">
      <c r="A20" s="237" t="s">
        <v>161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M20" s="2"/>
      <c r="N20" s="2"/>
      <c r="O20" s="2"/>
      <c r="P20" s="2"/>
      <c r="Q20" s="2"/>
      <c r="R20" s="2"/>
      <c r="U20" s="221" t="s">
        <v>92</v>
      </c>
      <c r="V20" s="222"/>
      <c r="W20" s="222"/>
      <c r="X20" s="222"/>
      <c r="Y20" s="222"/>
      <c r="Z20" s="222"/>
      <c r="AA20" s="223"/>
    </row>
    <row r="21" spans="1:27" ht="15" customHeight="1" x14ac:dyDescent="0.25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M21" s="73" t="s">
        <v>159</v>
      </c>
      <c r="N21" s="73"/>
      <c r="O21" s="73"/>
      <c r="P21" s="73"/>
      <c r="Q21" s="73"/>
      <c r="R21" s="73"/>
      <c r="S21" s="73"/>
      <c r="T21" s="73"/>
      <c r="U21" s="223"/>
      <c r="V21" s="223"/>
      <c r="W21" s="223"/>
      <c r="X21" s="223"/>
      <c r="Y21" s="223"/>
      <c r="Z21" s="223"/>
      <c r="AA21" s="223"/>
    </row>
    <row r="22" spans="1:27" ht="15" customHeight="1" x14ac:dyDescent="0.25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M22" s="73"/>
      <c r="N22" s="73"/>
      <c r="O22" s="73"/>
      <c r="P22" s="73"/>
      <c r="Q22" s="73"/>
      <c r="R22" s="73"/>
      <c r="S22" s="73"/>
      <c r="T22" s="73"/>
      <c r="U22" s="223"/>
      <c r="V22" s="223"/>
      <c r="W22" s="223"/>
      <c r="X22" s="223"/>
      <c r="Y22" s="223"/>
      <c r="Z22" s="223"/>
      <c r="AA22" s="223"/>
    </row>
    <row r="23" spans="1:27" ht="28.2" customHeight="1" x14ac:dyDescent="0.25">
      <c r="A23" s="237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M23" s="73"/>
      <c r="N23" s="73"/>
      <c r="O23" s="73"/>
      <c r="P23" s="73"/>
      <c r="Q23" s="73"/>
      <c r="R23" s="73"/>
      <c r="S23" s="73"/>
      <c r="T23" s="73"/>
      <c r="U23" s="223"/>
      <c r="V23" s="223"/>
      <c r="W23" s="223"/>
      <c r="X23" s="223"/>
      <c r="Y23" s="223"/>
      <c r="Z23" s="223"/>
      <c r="AA23" s="223"/>
    </row>
    <row r="24" spans="1:27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M24" s="3"/>
      <c r="N24" s="3"/>
      <c r="O24" s="3"/>
      <c r="P24" s="3"/>
      <c r="Q24" s="3"/>
      <c r="R24" s="3"/>
    </row>
    <row r="25" spans="1:27" ht="13.2" customHeight="1" x14ac:dyDescent="0.25">
      <c r="A25" s="146" t="s">
        <v>16</v>
      </c>
      <c r="B25" s="146"/>
      <c r="C25" s="146"/>
      <c r="D25" s="146"/>
      <c r="E25" s="146"/>
      <c r="F25" s="146"/>
      <c r="G25" s="146"/>
      <c r="M25" s="73" t="s">
        <v>151</v>
      </c>
      <c r="N25" s="73"/>
      <c r="O25" s="73"/>
      <c r="P25" s="73"/>
      <c r="Q25" s="73"/>
      <c r="R25" s="73"/>
      <c r="S25" s="73"/>
      <c r="T25" s="73"/>
    </row>
    <row r="26" spans="1:27" ht="26.25" customHeight="1" x14ac:dyDescent="0.25">
      <c r="A26" s="4"/>
      <c r="B26" s="198" t="s">
        <v>2</v>
      </c>
      <c r="C26" s="200"/>
      <c r="D26" s="198" t="s">
        <v>3</v>
      </c>
      <c r="E26" s="199"/>
      <c r="F26" s="200"/>
      <c r="G26" s="184" t="s">
        <v>18</v>
      </c>
      <c r="H26" s="184" t="s">
        <v>10</v>
      </c>
      <c r="I26" s="198" t="s">
        <v>4</v>
      </c>
      <c r="J26" s="199"/>
      <c r="K26" s="200"/>
      <c r="M26" s="73"/>
      <c r="N26" s="73"/>
      <c r="O26" s="73"/>
      <c r="P26" s="73"/>
      <c r="Q26" s="73"/>
      <c r="R26" s="73"/>
      <c r="S26" s="73"/>
      <c r="T26" s="73"/>
    </row>
    <row r="27" spans="1:27" ht="14.25" customHeight="1" x14ac:dyDescent="0.25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178"/>
      <c r="H27" s="178"/>
      <c r="I27" s="5" t="s">
        <v>11</v>
      </c>
      <c r="J27" s="5" t="s">
        <v>12</v>
      </c>
      <c r="K27" s="5" t="s">
        <v>13</v>
      </c>
      <c r="M27" s="73"/>
      <c r="N27" s="73"/>
      <c r="O27" s="73"/>
      <c r="P27" s="73"/>
      <c r="Q27" s="73"/>
      <c r="R27" s="73"/>
      <c r="S27" s="73"/>
      <c r="T27" s="73"/>
    </row>
    <row r="28" spans="1:27" ht="17.25" customHeight="1" x14ac:dyDescent="0.25">
      <c r="A28" s="6" t="s">
        <v>14</v>
      </c>
      <c r="B28" s="7">
        <v>14</v>
      </c>
      <c r="C28" s="7">
        <v>14</v>
      </c>
      <c r="D28" s="26">
        <v>3</v>
      </c>
      <c r="E28" s="26">
        <v>3</v>
      </c>
      <c r="F28" s="26">
        <v>2</v>
      </c>
      <c r="G28" s="26"/>
      <c r="H28" s="40"/>
      <c r="I28" s="26">
        <v>3</v>
      </c>
      <c r="J28" s="26">
        <v>1</v>
      </c>
      <c r="K28" s="26">
        <v>12</v>
      </c>
      <c r="M28" s="73"/>
      <c r="N28" s="73"/>
      <c r="O28" s="73"/>
      <c r="P28" s="73"/>
      <c r="Q28" s="73"/>
      <c r="R28" s="73"/>
      <c r="S28" s="73"/>
      <c r="T28" s="73"/>
      <c r="U28" s="212" t="str">
        <f t="shared" ref="U28" si="0">IF(SUM(B28:K28)=52,"Corect","Suma trebuie să fie 52")</f>
        <v>Corect</v>
      </c>
      <c r="V28" s="212"/>
    </row>
    <row r="29" spans="1:27" ht="15" customHeight="1" x14ac:dyDescent="0.25">
      <c r="A29" s="6" t="s">
        <v>15</v>
      </c>
      <c r="B29" s="7">
        <v>14</v>
      </c>
      <c r="C29" s="7">
        <v>12</v>
      </c>
      <c r="D29" s="26">
        <v>3</v>
      </c>
      <c r="E29" s="26">
        <v>3</v>
      </c>
      <c r="F29" s="26">
        <v>2</v>
      </c>
      <c r="G29" s="26">
        <v>2</v>
      </c>
      <c r="H29" s="26"/>
      <c r="I29" s="26">
        <v>3</v>
      </c>
      <c r="J29" s="26">
        <v>1</v>
      </c>
      <c r="K29" s="26">
        <v>12</v>
      </c>
      <c r="M29" s="73"/>
      <c r="N29" s="73"/>
      <c r="O29" s="73"/>
      <c r="P29" s="73"/>
      <c r="Q29" s="73"/>
      <c r="R29" s="73"/>
      <c r="S29" s="73"/>
      <c r="T29" s="73"/>
      <c r="U29" s="212" t="str">
        <f t="shared" ref="U29" si="1">IF(SUM(B29:K29)=52,"Corect","Suma trebuie să fie 52")</f>
        <v>Corect</v>
      </c>
      <c r="V29" s="212"/>
    </row>
    <row r="30" spans="1:27" ht="15.75" customHeight="1" x14ac:dyDescent="0.25">
      <c r="A30" s="35"/>
      <c r="B30" s="33"/>
      <c r="C30" s="33"/>
      <c r="D30" s="33"/>
      <c r="E30" s="33"/>
      <c r="F30" s="33"/>
      <c r="G30" s="33"/>
      <c r="H30" s="33"/>
      <c r="I30" s="33"/>
      <c r="J30" s="33"/>
      <c r="K30" s="36"/>
      <c r="M30" s="73"/>
      <c r="N30" s="73"/>
      <c r="O30" s="73"/>
      <c r="P30" s="73"/>
      <c r="Q30" s="73"/>
      <c r="R30" s="73"/>
      <c r="S30" s="73"/>
      <c r="T30" s="73"/>
    </row>
    <row r="31" spans="1:27" ht="21" customHeight="1" x14ac:dyDescent="0.25">
      <c r="A31" s="34"/>
      <c r="B31" s="34"/>
      <c r="C31" s="34"/>
      <c r="D31" s="34"/>
      <c r="E31" s="34"/>
      <c r="F31" s="34"/>
      <c r="G31" s="34"/>
      <c r="M31" s="65"/>
      <c r="N31" s="65"/>
      <c r="O31" s="65"/>
      <c r="P31" s="65"/>
      <c r="Q31" s="65"/>
      <c r="R31" s="65"/>
      <c r="S31" s="65"/>
      <c r="T31" s="65"/>
    </row>
    <row r="32" spans="1:27" ht="15" customHeight="1" x14ac:dyDescent="0.25">
      <c r="B32" s="2"/>
      <c r="C32" s="2"/>
      <c r="D32" s="2"/>
      <c r="E32" s="2"/>
      <c r="F32" s="2"/>
      <c r="G32" s="2"/>
      <c r="M32" s="8"/>
      <c r="N32" s="8"/>
      <c r="O32" s="8"/>
      <c r="P32" s="8"/>
      <c r="Q32" s="8"/>
      <c r="R32" s="8"/>
      <c r="S32" s="8"/>
    </row>
    <row r="33" spans="1:23" x14ac:dyDescent="0.25">
      <c r="B33" s="8"/>
      <c r="C33" s="8"/>
      <c r="D33" s="8"/>
      <c r="E33" s="8"/>
      <c r="F33" s="8"/>
      <c r="G33" s="8"/>
      <c r="M33" s="8"/>
      <c r="N33" s="8"/>
      <c r="O33" s="8"/>
      <c r="P33" s="8"/>
      <c r="Q33" s="8"/>
      <c r="R33" s="8"/>
      <c r="S33" s="8"/>
    </row>
    <row r="35" spans="1:23" ht="20.25" customHeight="1" x14ac:dyDescent="0.25">
      <c r="A35" s="191" t="s">
        <v>21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</row>
    <row r="36" spans="1:23" ht="20.25" hidden="1" customHeight="1" x14ac:dyDescent="0.25">
      <c r="N36" s="9"/>
      <c r="O36" s="10" t="s">
        <v>37</v>
      </c>
      <c r="P36" s="10" t="s">
        <v>38</v>
      </c>
      <c r="Q36" s="10" t="s">
        <v>39</v>
      </c>
      <c r="R36" s="10" t="s">
        <v>98</v>
      </c>
      <c r="S36" s="10" t="s">
        <v>99</v>
      </c>
      <c r="T36" s="10"/>
    </row>
    <row r="37" spans="1:23" ht="20.25" customHeight="1" x14ac:dyDescent="0.25">
      <c r="A37" s="98" t="s">
        <v>42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</row>
    <row r="38" spans="1:23" ht="27.75" customHeight="1" x14ac:dyDescent="0.25">
      <c r="A38" s="175" t="s">
        <v>27</v>
      </c>
      <c r="B38" s="168" t="s">
        <v>26</v>
      </c>
      <c r="C38" s="169"/>
      <c r="D38" s="169"/>
      <c r="E38" s="169"/>
      <c r="F38" s="169"/>
      <c r="G38" s="169"/>
      <c r="H38" s="169"/>
      <c r="I38" s="170"/>
      <c r="J38" s="184" t="s">
        <v>40</v>
      </c>
      <c r="K38" s="179" t="s">
        <v>24</v>
      </c>
      <c r="L38" s="182"/>
      <c r="M38" s="183"/>
      <c r="N38" s="179" t="s">
        <v>41</v>
      </c>
      <c r="O38" s="180"/>
      <c r="P38" s="181"/>
      <c r="Q38" s="179" t="s">
        <v>23</v>
      </c>
      <c r="R38" s="182"/>
      <c r="S38" s="183"/>
      <c r="T38" s="177" t="s">
        <v>22</v>
      </c>
    </row>
    <row r="39" spans="1:23" ht="20.25" customHeight="1" x14ac:dyDescent="0.25">
      <c r="A39" s="176"/>
      <c r="B39" s="171"/>
      <c r="C39" s="172"/>
      <c r="D39" s="172"/>
      <c r="E39" s="172"/>
      <c r="F39" s="172"/>
      <c r="G39" s="172"/>
      <c r="H39" s="172"/>
      <c r="I39" s="173"/>
      <c r="J39" s="178"/>
      <c r="K39" s="5" t="s">
        <v>28</v>
      </c>
      <c r="L39" s="5" t="s">
        <v>29</v>
      </c>
      <c r="M39" s="5" t="s">
        <v>30</v>
      </c>
      <c r="N39" s="5" t="s">
        <v>34</v>
      </c>
      <c r="O39" s="5" t="s">
        <v>7</v>
      </c>
      <c r="P39" s="5" t="s">
        <v>31</v>
      </c>
      <c r="Q39" s="5" t="s">
        <v>32</v>
      </c>
      <c r="R39" s="5" t="s">
        <v>28</v>
      </c>
      <c r="S39" s="5" t="s">
        <v>33</v>
      </c>
      <c r="T39" s="178"/>
    </row>
    <row r="40" spans="1:23" ht="20.25" customHeight="1" x14ac:dyDescent="0.25">
      <c r="A40" s="54" t="s">
        <v>123</v>
      </c>
      <c r="B40" s="160" t="s">
        <v>124</v>
      </c>
      <c r="C40" s="161"/>
      <c r="D40" s="161"/>
      <c r="E40" s="161"/>
      <c r="F40" s="161"/>
      <c r="G40" s="161"/>
      <c r="H40" s="161"/>
      <c r="I40" s="162"/>
      <c r="J40" s="55">
        <v>8</v>
      </c>
      <c r="K40" s="55">
        <v>2</v>
      </c>
      <c r="L40" s="55">
        <v>1</v>
      </c>
      <c r="M40" s="11">
        <v>2</v>
      </c>
      <c r="N40" s="19">
        <f>K40+L40+M40</f>
        <v>5</v>
      </c>
      <c r="O40" s="20">
        <f>P40-N40</f>
        <v>9</v>
      </c>
      <c r="P40" s="20">
        <f>ROUND(PRODUCT(J40,25)/14,0)</f>
        <v>14</v>
      </c>
      <c r="Q40" s="25" t="s">
        <v>32</v>
      </c>
      <c r="R40" s="11"/>
      <c r="S40" s="26"/>
      <c r="T40" s="11" t="s">
        <v>37</v>
      </c>
    </row>
    <row r="41" spans="1:23" ht="20.25" customHeight="1" x14ac:dyDescent="0.25">
      <c r="A41" s="54" t="s">
        <v>125</v>
      </c>
      <c r="B41" s="160" t="s">
        <v>126</v>
      </c>
      <c r="C41" s="161"/>
      <c r="D41" s="161"/>
      <c r="E41" s="161"/>
      <c r="F41" s="161"/>
      <c r="G41" s="161"/>
      <c r="H41" s="161"/>
      <c r="I41" s="162"/>
      <c r="J41" s="55">
        <v>8</v>
      </c>
      <c r="K41" s="55">
        <v>2</v>
      </c>
      <c r="L41" s="55">
        <v>1</v>
      </c>
      <c r="M41" s="11">
        <v>2</v>
      </c>
      <c r="N41" s="19">
        <f t="shared" ref="N41:N43" si="2">K41+L41+M41</f>
        <v>5</v>
      </c>
      <c r="O41" s="20">
        <f t="shared" ref="O41:O43" si="3">P41-N41</f>
        <v>9</v>
      </c>
      <c r="P41" s="20">
        <f t="shared" ref="P41:P43" si="4">ROUND(PRODUCT(J41,25)/14,0)</f>
        <v>14</v>
      </c>
      <c r="Q41" s="25" t="s">
        <v>32</v>
      </c>
      <c r="R41" s="11"/>
      <c r="S41" s="26"/>
      <c r="T41" s="11" t="s">
        <v>37</v>
      </c>
    </row>
    <row r="42" spans="1:23" ht="20.25" customHeight="1" x14ac:dyDescent="0.25">
      <c r="A42" s="54" t="s">
        <v>127</v>
      </c>
      <c r="B42" s="160" t="s">
        <v>128</v>
      </c>
      <c r="C42" s="161"/>
      <c r="D42" s="161"/>
      <c r="E42" s="161"/>
      <c r="F42" s="161"/>
      <c r="G42" s="161"/>
      <c r="H42" s="161"/>
      <c r="I42" s="162"/>
      <c r="J42" s="55">
        <v>7</v>
      </c>
      <c r="K42" s="55">
        <v>2</v>
      </c>
      <c r="L42" s="55">
        <v>1</v>
      </c>
      <c r="M42" s="11">
        <v>2</v>
      </c>
      <c r="N42" s="19">
        <f t="shared" si="2"/>
        <v>5</v>
      </c>
      <c r="O42" s="20">
        <f t="shared" si="3"/>
        <v>8</v>
      </c>
      <c r="P42" s="20">
        <f t="shared" si="4"/>
        <v>13</v>
      </c>
      <c r="Q42" s="25"/>
      <c r="R42" s="11" t="s">
        <v>28</v>
      </c>
      <c r="S42" s="26"/>
      <c r="T42" s="11" t="s">
        <v>37</v>
      </c>
    </row>
    <row r="43" spans="1:23" ht="20.25" customHeight="1" x14ac:dyDescent="0.25">
      <c r="A43" s="54" t="s">
        <v>158</v>
      </c>
      <c r="B43" s="160" t="s">
        <v>129</v>
      </c>
      <c r="C43" s="161"/>
      <c r="D43" s="161"/>
      <c r="E43" s="161"/>
      <c r="F43" s="161"/>
      <c r="G43" s="161"/>
      <c r="H43" s="161"/>
      <c r="I43" s="162"/>
      <c r="J43" s="55">
        <v>7</v>
      </c>
      <c r="K43" s="55">
        <v>2</v>
      </c>
      <c r="L43" s="55">
        <v>1</v>
      </c>
      <c r="M43" s="11">
        <v>2</v>
      </c>
      <c r="N43" s="19">
        <f t="shared" si="2"/>
        <v>5</v>
      </c>
      <c r="O43" s="20">
        <f t="shared" si="3"/>
        <v>8</v>
      </c>
      <c r="P43" s="20">
        <f t="shared" si="4"/>
        <v>13</v>
      </c>
      <c r="Q43" s="25"/>
      <c r="R43" s="11" t="s">
        <v>28</v>
      </c>
      <c r="S43" s="26"/>
      <c r="T43" s="11" t="s">
        <v>37</v>
      </c>
    </row>
    <row r="44" spans="1:23" x14ac:dyDescent="0.25">
      <c r="A44" s="22" t="s">
        <v>25</v>
      </c>
      <c r="B44" s="103"/>
      <c r="C44" s="155"/>
      <c r="D44" s="155"/>
      <c r="E44" s="155"/>
      <c r="F44" s="155"/>
      <c r="G44" s="155"/>
      <c r="H44" s="155"/>
      <c r="I44" s="104"/>
      <c r="J44" s="22">
        <f t="shared" ref="J44:P44" si="5">SUM(J40:J43)</f>
        <v>30</v>
      </c>
      <c r="K44" s="22">
        <f t="shared" si="5"/>
        <v>8</v>
      </c>
      <c r="L44" s="22">
        <f t="shared" si="5"/>
        <v>4</v>
      </c>
      <c r="M44" s="22">
        <f t="shared" si="5"/>
        <v>8</v>
      </c>
      <c r="N44" s="22">
        <f t="shared" si="5"/>
        <v>20</v>
      </c>
      <c r="O44" s="22">
        <f t="shared" si="5"/>
        <v>34</v>
      </c>
      <c r="P44" s="22">
        <f t="shared" si="5"/>
        <v>54</v>
      </c>
      <c r="Q44" s="22">
        <f>COUNTIF(Q40:Q43,"E")</f>
        <v>2</v>
      </c>
      <c r="R44" s="22">
        <f>COUNTIF(R40:R43,"C")</f>
        <v>2</v>
      </c>
      <c r="S44" s="22">
        <f>COUNTIF(S40:S43,"VP")</f>
        <v>0</v>
      </c>
      <c r="T44" s="53">
        <f>COUNTA(T40:T43)</f>
        <v>4</v>
      </c>
      <c r="U44" s="213" t="str">
        <f>IF(Q44&gt;=SUM(R44:S44),"Corect","E trebuie să fie cel puțin egal cu C+VP")</f>
        <v>Corect</v>
      </c>
      <c r="V44" s="214"/>
      <c r="W44" s="214"/>
    </row>
    <row r="45" spans="1:23" ht="19.5" customHeight="1" x14ac:dyDescent="0.25"/>
    <row r="46" spans="1:23" ht="16.5" customHeight="1" x14ac:dyDescent="0.25">
      <c r="A46" s="98" t="s">
        <v>43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</row>
    <row r="47" spans="1:23" ht="26.25" customHeight="1" x14ac:dyDescent="0.25">
      <c r="A47" s="175" t="s">
        <v>27</v>
      </c>
      <c r="B47" s="168" t="s">
        <v>26</v>
      </c>
      <c r="C47" s="169"/>
      <c r="D47" s="169"/>
      <c r="E47" s="169"/>
      <c r="F47" s="169"/>
      <c r="G47" s="169"/>
      <c r="H47" s="169"/>
      <c r="I47" s="170"/>
      <c r="J47" s="184" t="s">
        <v>40</v>
      </c>
      <c r="K47" s="179" t="s">
        <v>24</v>
      </c>
      <c r="L47" s="182"/>
      <c r="M47" s="183"/>
      <c r="N47" s="179" t="s">
        <v>41</v>
      </c>
      <c r="O47" s="180"/>
      <c r="P47" s="181"/>
      <c r="Q47" s="179" t="s">
        <v>23</v>
      </c>
      <c r="R47" s="182"/>
      <c r="S47" s="183"/>
      <c r="T47" s="177" t="s">
        <v>22</v>
      </c>
    </row>
    <row r="48" spans="1:23" ht="12.75" customHeight="1" x14ac:dyDescent="0.25">
      <c r="A48" s="176"/>
      <c r="B48" s="171"/>
      <c r="C48" s="172"/>
      <c r="D48" s="172"/>
      <c r="E48" s="172"/>
      <c r="F48" s="172"/>
      <c r="G48" s="172"/>
      <c r="H48" s="172"/>
      <c r="I48" s="173"/>
      <c r="J48" s="178"/>
      <c r="K48" s="5" t="s">
        <v>28</v>
      </c>
      <c r="L48" s="5" t="s">
        <v>29</v>
      </c>
      <c r="M48" s="5" t="s">
        <v>30</v>
      </c>
      <c r="N48" s="5" t="s">
        <v>34</v>
      </c>
      <c r="O48" s="5" t="s">
        <v>7</v>
      </c>
      <c r="P48" s="5" t="s">
        <v>31</v>
      </c>
      <c r="Q48" s="5" t="s">
        <v>32</v>
      </c>
      <c r="R48" s="5" t="s">
        <v>28</v>
      </c>
      <c r="S48" s="5" t="s">
        <v>33</v>
      </c>
      <c r="T48" s="178"/>
    </row>
    <row r="49" spans="1:23" x14ac:dyDescent="0.25">
      <c r="A49" s="54" t="s">
        <v>130</v>
      </c>
      <c r="B49" s="160" t="s">
        <v>131</v>
      </c>
      <c r="C49" s="161"/>
      <c r="D49" s="161"/>
      <c r="E49" s="161"/>
      <c r="F49" s="161"/>
      <c r="G49" s="161"/>
      <c r="H49" s="161"/>
      <c r="I49" s="162"/>
      <c r="J49" s="55">
        <v>7</v>
      </c>
      <c r="K49" s="55">
        <v>2</v>
      </c>
      <c r="L49" s="55">
        <v>1</v>
      </c>
      <c r="M49" s="11">
        <v>2</v>
      </c>
      <c r="N49" s="19">
        <f>K49+L49+M49</f>
        <v>5</v>
      </c>
      <c r="O49" s="20">
        <f>P49-N49</f>
        <v>8</v>
      </c>
      <c r="P49" s="20">
        <f>ROUND(PRODUCT(J49,25)/14,0)</f>
        <v>13</v>
      </c>
      <c r="Q49" s="25"/>
      <c r="R49" s="11" t="s">
        <v>28</v>
      </c>
      <c r="S49" s="26"/>
      <c r="T49" s="11" t="s">
        <v>37</v>
      </c>
    </row>
    <row r="50" spans="1:23" x14ac:dyDescent="0.25">
      <c r="A50" s="54" t="s">
        <v>132</v>
      </c>
      <c r="B50" s="160" t="s">
        <v>133</v>
      </c>
      <c r="C50" s="161"/>
      <c r="D50" s="161"/>
      <c r="E50" s="161"/>
      <c r="F50" s="161"/>
      <c r="G50" s="161"/>
      <c r="H50" s="161"/>
      <c r="I50" s="162"/>
      <c r="J50" s="55">
        <v>7</v>
      </c>
      <c r="K50" s="55">
        <v>2</v>
      </c>
      <c r="L50" s="55">
        <v>1</v>
      </c>
      <c r="M50" s="11">
        <v>2</v>
      </c>
      <c r="N50" s="19">
        <f t="shared" ref="N50:N52" si="6">K50+L50+M50</f>
        <v>5</v>
      </c>
      <c r="O50" s="20">
        <f t="shared" ref="O50:O52" si="7">P50-N50</f>
        <v>8</v>
      </c>
      <c r="P50" s="20">
        <f t="shared" ref="P50:P52" si="8">ROUND(PRODUCT(J50,25)/14,0)</f>
        <v>13</v>
      </c>
      <c r="Q50" s="25" t="s">
        <v>32</v>
      </c>
      <c r="R50" s="11"/>
      <c r="S50" s="26"/>
      <c r="T50" s="11" t="s">
        <v>39</v>
      </c>
    </row>
    <row r="51" spans="1:23" x14ac:dyDescent="0.25">
      <c r="A51" s="54" t="s">
        <v>134</v>
      </c>
      <c r="B51" s="160" t="s">
        <v>135</v>
      </c>
      <c r="C51" s="161"/>
      <c r="D51" s="161"/>
      <c r="E51" s="161"/>
      <c r="F51" s="161"/>
      <c r="G51" s="161"/>
      <c r="H51" s="161"/>
      <c r="I51" s="162"/>
      <c r="J51" s="55">
        <v>6</v>
      </c>
      <c r="K51" s="55">
        <v>2</v>
      </c>
      <c r="L51" s="55">
        <v>1</v>
      </c>
      <c r="M51" s="11">
        <v>2</v>
      </c>
      <c r="N51" s="19">
        <f t="shared" si="6"/>
        <v>5</v>
      </c>
      <c r="O51" s="20">
        <f t="shared" si="7"/>
        <v>6</v>
      </c>
      <c r="P51" s="20">
        <f t="shared" si="8"/>
        <v>11</v>
      </c>
      <c r="Q51" s="25" t="s">
        <v>32</v>
      </c>
      <c r="R51" s="11"/>
      <c r="S51" s="26"/>
      <c r="T51" s="11" t="s">
        <v>38</v>
      </c>
    </row>
    <row r="52" spans="1:23" x14ac:dyDescent="0.25">
      <c r="A52" s="56" t="s">
        <v>121</v>
      </c>
      <c r="B52" s="234" t="s">
        <v>122</v>
      </c>
      <c r="C52" s="235"/>
      <c r="D52" s="235"/>
      <c r="E52" s="235"/>
      <c r="F52" s="235"/>
      <c r="G52" s="235"/>
      <c r="H52" s="235"/>
      <c r="I52" s="236"/>
      <c r="J52" s="57">
        <v>4</v>
      </c>
      <c r="K52" s="55">
        <v>0</v>
      </c>
      <c r="L52" s="55">
        <v>0</v>
      </c>
      <c r="M52" s="11">
        <v>3</v>
      </c>
      <c r="N52" s="19">
        <f t="shared" si="6"/>
        <v>3</v>
      </c>
      <c r="O52" s="20">
        <f t="shared" si="7"/>
        <v>4</v>
      </c>
      <c r="P52" s="20">
        <f t="shared" si="8"/>
        <v>7</v>
      </c>
      <c r="Q52" s="25"/>
      <c r="R52" s="11"/>
      <c r="S52" s="26" t="s">
        <v>33</v>
      </c>
      <c r="T52" s="11" t="s">
        <v>38</v>
      </c>
    </row>
    <row r="53" spans="1:23" x14ac:dyDescent="0.25">
      <c r="A53" s="54" t="s">
        <v>136</v>
      </c>
      <c r="B53" s="160" t="s">
        <v>137</v>
      </c>
      <c r="C53" s="161"/>
      <c r="D53" s="161"/>
      <c r="E53" s="161"/>
      <c r="F53" s="161"/>
      <c r="G53" s="161"/>
      <c r="H53" s="161"/>
      <c r="I53" s="162"/>
      <c r="J53" s="55">
        <v>6</v>
      </c>
      <c r="K53" s="55">
        <v>2</v>
      </c>
      <c r="L53" s="55">
        <v>1</v>
      </c>
      <c r="M53" s="11">
        <v>2</v>
      </c>
      <c r="N53" s="19">
        <f>K53+L53+M53</f>
        <v>5</v>
      </c>
      <c r="O53" s="20">
        <f>P53-N53</f>
        <v>6</v>
      </c>
      <c r="P53" s="20">
        <f>ROUND(PRODUCT(J53,25)/14,0)</f>
        <v>11</v>
      </c>
      <c r="Q53" s="25" t="s">
        <v>32</v>
      </c>
      <c r="R53" s="11"/>
      <c r="S53" s="26"/>
      <c r="T53" s="11" t="s">
        <v>38</v>
      </c>
    </row>
    <row r="54" spans="1:23" x14ac:dyDescent="0.25">
      <c r="A54" s="22" t="s">
        <v>25</v>
      </c>
      <c r="B54" s="103"/>
      <c r="C54" s="155"/>
      <c r="D54" s="155"/>
      <c r="E54" s="155"/>
      <c r="F54" s="155"/>
      <c r="G54" s="155"/>
      <c r="H54" s="155"/>
      <c r="I54" s="104"/>
      <c r="J54" s="22">
        <f t="shared" ref="J54:P54" si="9">SUM(J49:J53)</f>
        <v>30</v>
      </c>
      <c r="K54" s="22">
        <f t="shared" si="9"/>
        <v>8</v>
      </c>
      <c r="L54" s="22">
        <f t="shared" si="9"/>
        <v>4</v>
      </c>
      <c r="M54" s="22">
        <f t="shared" si="9"/>
        <v>11</v>
      </c>
      <c r="N54" s="22">
        <f t="shared" si="9"/>
        <v>23</v>
      </c>
      <c r="O54" s="22">
        <f t="shared" si="9"/>
        <v>32</v>
      </c>
      <c r="P54" s="22">
        <f t="shared" si="9"/>
        <v>55</v>
      </c>
      <c r="Q54" s="22">
        <f>COUNTIF(Q49:Q53,"E")</f>
        <v>3</v>
      </c>
      <c r="R54" s="22">
        <f>COUNTIF(R49:R53,"C")</f>
        <v>1</v>
      </c>
      <c r="S54" s="22">
        <f>COUNTIF(S49:S53,"VP")</f>
        <v>1</v>
      </c>
      <c r="T54" s="53">
        <f>COUNTA(T49:T53)</f>
        <v>5</v>
      </c>
      <c r="U54" s="213" t="str">
        <f>IF(Q54&gt;=SUM(R54:S54),"Corect","E trebuie să fie cel puțin egal cu C+VP")</f>
        <v>Corect</v>
      </c>
      <c r="V54" s="214"/>
      <c r="W54" s="214"/>
    </row>
    <row r="55" spans="1:23" ht="11.25" customHeight="1" x14ac:dyDescent="0.25"/>
    <row r="56" spans="1:23" x14ac:dyDescent="0.25">
      <c r="B56" s="8"/>
      <c r="C56" s="8"/>
      <c r="D56" s="8"/>
      <c r="E56" s="8"/>
      <c r="F56" s="8"/>
      <c r="G56" s="8"/>
      <c r="M56" s="8"/>
      <c r="N56" s="8"/>
      <c r="O56" s="8"/>
      <c r="P56" s="8"/>
      <c r="Q56" s="8"/>
      <c r="R56" s="8"/>
      <c r="S56" s="8"/>
    </row>
    <row r="58" spans="1:23" ht="18" customHeight="1" x14ac:dyDescent="0.25">
      <c r="A58" s="98" t="s">
        <v>44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</row>
    <row r="59" spans="1:23" ht="25.5" customHeight="1" x14ac:dyDescent="0.25">
      <c r="A59" s="175" t="s">
        <v>27</v>
      </c>
      <c r="B59" s="168" t="s">
        <v>26</v>
      </c>
      <c r="C59" s="169"/>
      <c r="D59" s="169"/>
      <c r="E59" s="169"/>
      <c r="F59" s="169"/>
      <c r="G59" s="169"/>
      <c r="H59" s="169"/>
      <c r="I59" s="170"/>
      <c r="J59" s="184" t="s">
        <v>40</v>
      </c>
      <c r="K59" s="179" t="s">
        <v>24</v>
      </c>
      <c r="L59" s="182"/>
      <c r="M59" s="183"/>
      <c r="N59" s="179" t="s">
        <v>41</v>
      </c>
      <c r="O59" s="180"/>
      <c r="P59" s="181"/>
      <c r="Q59" s="179" t="s">
        <v>23</v>
      </c>
      <c r="R59" s="182"/>
      <c r="S59" s="183"/>
      <c r="T59" s="177" t="s">
        <v>22</v>
      </c>
    </row>
    <row r="60" spans="1:23" ht="16.5" customHeight="1" x14ac:dyDescent="0.25">
      <c r="A60" s="176"/>
      <c r="B60" s="171"/>
      <c r="C60" s="172"/>
      <c r="D60" s="172"/>
      <c r="E60" s="172"/>
      <c r="F60" s="172"/>
      <c r="G60" s="172"/>
      <c r="H60" s="172"/>
      <c r="I60" s="173"/>
      <c r="J60" s="178"/>
      <c r="K60" s="5" t="s">
        <v>28</v>
      </c>
      <c r="L60" s="5" t="s">
        <v>29</v>
      </c>
      <c r="M60" s="5" t="s">
        <v>30</v>
      </c>
      <c r="N60" s="5" t="s">
        <v>34</v>
      </c>
      <c r="O60" s="5" t="s">
        <v>7</v>
      </c>
      <c r="P60" s="5" t="s">
        <v>31</v>
      </c>
      <c r="Q60" s="5" t="s">
        <v>32</v>
      </c>
      <c r="R60" s="5" t="s">
        <v>28</v>
      </c>
      <c r="S60" s="5" t="s">
        <v>33</v>
      </c>
      <c r="T60" s="178"/>
    </row>
    <row r="61" spans="1:23" x14ac:dyDescent="0.25">
      <c r="A61" s="54" t="s">
        <v>103</v>
      </c>
      <c r="B61" s="160" t="s">
        <v>104</v>
      </c>
      <c r="C61" s="161"/>
      <c r="D61" s="161"/>
      <c r="E61" s="161"/>
      <c r="F61" s="161"/>
      <c r="G61" s="161"/>
      <c r="H61" s="161"/>
      <c r="I61" s="162"/>
      <c r="J61" s="11">
        <v>8</v>
      </c>
      <c r="K61" s="11">
        <v>2</v>
      </c>
      <c r="L61" s="11">
        <v>1</v>
      </c>
      <c r="M61" s="11">
        <v>2</v>
      </c>
      <c r="N61" s="19">
        <f>K61+L61+M61</f>
        <v>5</v>
      </c>
      <c r="O61" s="20">
        <f>P61-N61</f>
        <v>9</v>
      </c>
      <c r="P61" s="20">
        <f>ROUND(PRODUCT(J61,25)/14,0)</f>
        <v>14</v>
      </c>
      <c r="Q61" s="25"/>
      <c r="R61" s="11"/>
      <c r="S61" s="26" t="s">
        <v>33</v>
      </c>
      <c r="T61" s="11" t="s">
        <v>38</v>
      </c>
    </row>
    <row r="62" spans="1:23" x14ac:dyDescent="0.25">
      <c r="A62" s="54" t="s">
        <v>105</v>
      </c>
      <c r="B62" s="160" t="s">
        <v>106</v>
      </c>
      <c r="C62" s="161"/>
      <c r="D62" s="161"/>
      <c r="E62" s="161"/>
      <c r="F62" s="161"/>
      <c r="G62" s="161"/>
      <c r="H62" s="161"/>
      <c r="I62" s="162"/>
      <c r="J62" s="11">
        <v>8</v>
      </c>
      <c r="K62" s="11">
        <v>2</v>
      </c>
      <c r="L62" s="11">
        <v>1</v>
      </c>
      <c r="M62" s="11">
        <v>2</v>
      </c>
      <c r="N62" s="19">
        <f t="shared" ref="N62:N64" si="10">K62+L62+M62</f>
        <v>5</v>
      </c>
      <c r="O62" s="20">
        <f t="shared" ref="O62:O64" si="11">P62-N62</f>
        <v>9</v>
      </c>
      <c r="P62" s="20">
        <f t="shared" ref="P62:P64" si="12">ROUND(PRODUCT(J62,25)/14,0)</f>
        <v>14</v>
      </c>
      <c r="Q62" s="25" t="s">
        <v>32</v>
      </c>
      <c r="R62" s="11"/>
      <c r="S62" s="26"/>
      <c r="T62" s="11" t="s">
        <v>39</v>
      </c>
    </row>
    <row r="63" spans="1:23" x14ac:dyDescent="0.25">
      <c r="A63" s="54" t="s">
        <v>107</v>
      </c>
      <c r="B63" s="160" t="s">
        <v>108</v>
      </c>
      <c r="C63" s="161"/>
      <c r="D63" s="161"/>
      <c r="E63" s="161"/>
      <c r="F63" s="161"/>
      <c r="G63" s="161"/>
      <c r="H63" s="161"/>
      <c r="I63" s="162"/>
      <c r="J63" s="11">
        <v>7</v>
      </c>
      <c r="K63" s="11">
        <v>2</v>
      </c>
      <c r="L63" s="11">
        <v>1</v>
      </c>
      <c r="M63" s="11">
        <v>2</v>
      </c>
      <c r="N63" s="19">
        <f t="shared" si="10"/>
        <v>5</v>
      </c>
      <c r="O63" s="20">
        <f t="shared" si="11"/>
        <v>8</v>
      </c>
      <c r="P63" s="20">
        <f t="shared" si="12"/>
        <v>13</v>
      </c>
      <c r="Q63" s="25" t="s">
        <v>32</v>
      </c>
      <c r="R63" s="11"/>
      <c r="S63" s="26"/>
      <c r="T63" s="11" t="s">
        <v>37</v>
      </c>
    </row>
    <row r="64" spans="1:23" x14ac:dyDescent="0.25">
      <c r="A64" s="54" t="s">
        <v>109</v>
      </c>
      <c r="B64" s="160" t="s">
        <v>110</v>
      </c>
      <c r="C64" s="161"/>
      <c r="D64" s="161"/>
      <c r="E64" s="161"/>
      <c r="F64" s="161"/>
      <c r="G64" s="161"/>
      <c r="H64" s="161"/>
      <c r="I64" s="162"/>
      <c r="J64" s="11">
        <v>7</v>
      </c>
      <c r="K64" s="11">
        <v>2</v>
      </c>
      <c r="L64" s="11">
        <v>1</v>
      </c>
      <c r="M64" s="11">
        <v>2</v>
      </c>
      <c r="N64" s="19">
        <f t="shared" si="10"/>
        <v>5</v>
      </c>
      <c r="O64" s="20">
        <f t="shared" si="11"/>
        <v>8</v>
      </c>
      <c r="P64" s="20">
        <f t="shared" si="12"/>
        <v>13</v>
      </c>
      <c r="Q64" s="25"/>
      <c r="R64" s="11" t="s">
        <v>28</v>
      </c>
      <c r="S64" s="26"/>
      <c r="T64" s="11" t="s">
        <v>37</v>
      </c>
    </row>
    <row r="65" spans="1:23" x14ac:dyDescent="0.25">
      <c r="A65" s="22" t="s">
        <v>25</v>
      </c>
      <c r="B65" s="103"/>
      <c r="C65" s="155"/>
      <c r="D65" s="155"/>
      <c r="E65" s="155"/>
      <c r="F65" s="155"/>
      <c r="G65" s="155"/>
      <c r="H65" s="155"/>
      <c r="I65" s="104"/>
      <c r="J65" s="22">
        <f t="shared" ref="J65:P65" si="13">SUM(J61:J64)</f>
        <v>30</v>
      </c>
      <c r="K65" s="22">
        <f t="shared" si="13"/>
        <v>8</v>
      </c>
      <c r="L65" s="22">
        <f t="shared" si="13"/>
        <v>4</v>
      </c>
      <c r="M65" s="22">
        <f t="shared" si="13"/>
        <v>8</v>
      </c>
      <c r="N65" s="22">
        <f t="shared" si="13"/>
        <v>20</v>
      </c>
      <c r="O65" s="22">
        <f t="shared" si="13"/>
        <v>34</v>
      </c>
      <c r="P65" s="22">
        <f t="shared" si="13"/>
        <v>54</v>
      </c>
      <c r="Q65" s="22">
        <f>COUNTIF(Q61:Q64,"E")</f>
        <v>2</v>
      </c>
      <c r="R65" s="22">
        <f>COUNTIF(R61:R64,"C")</f>
        <v>1</v>
      </c>
      <c r="S65" s="22">
        <f>COUNTIF(S61:S64,"VP")</f>
        <v>1</v>
      </c>
      <c r="T65" s="53">
        <f>COUNTA(T61:T64)</f>
        <v>4</v>
      </c>
      <c r="U65" s="213" t="str">
        <f>IF(Q65&gt;=SUM(R65:S65),"Corect","E trebuie să fie cel puțin egal cu C+VP")</f>
        <v>Corect</v>
      </c>
      <c r="V65" s="214"/>
      <c r="W65" s="214"/>
    </row>
    <row r="66" spans="1:23" ht="21.75" customHeight="1" x14ac:dyDescent="0.25"/>
    <row r="67" spans="1:23" ht="18.75" customHeight="1" x14ac:dyDescent="0.25">
      <c r="A67" s="98" t="s">
        <v>45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</row>
    <row r="68" spans="1:23" ht="24.75" customHeight="1" x14ac:dyDescent="0.25">
      <c r="A68" s="175" t="s">
        <v>27</v>
      </c>
      <c r="B68" s="168" t="s">
        <v>26</v>
      </c>
      <c r="C68" s="169"/>
      <c r="D68" s="169"/>
      <c r="E68" s="169"/>
      <c r="F68" s="169"/>
      <c r="G68" s="169"/>
      <c r="H68" s="169"/>
      <c r="I68" s="170"/>
      <c r="J68" s="184" t="s">
        <v>40</v>
      </c>
      <c r="K68" s="179" t="s">
        <v>24</v>
      </c>
      <c r="L68" s="182"/>
      <c r="M68" s="183"/>
      <c r="N68" s="179" t="s">
        <v>41</v>
      </c>
      <c r="O68" s="180"/>
      <c r="P68" s="181"/>
      <c r="Q68" s="179" t="s">
        <v>23</v>
      </c>
      <c r="R68" s="182"/>
      <c r="S68" s="183"/>
      <c r="T68" s="177" t="s">
        <v>22</v>
      </c>
      <c r="U68" s="1">
        <f>163*14+64*12</f>
        <v>3050</v>
      </c>
    </row>
    <row r="69" spans="1:23" x14ac:dyDescent="0.25">
      <c r="A69" s="176"/>
      <c r="B69" s="171"/>
      <c r="C69" s="172"/>
      <c r="D69" s="172"/>
      <c r="E69" s="172"/>
      <c r="F69" s="172"/>
      <c r="G69" s="172"/>
      <c r="H69" s="172"/>
      <c r="I69" s="173"/>
      <c r="J69" s="178"/>
      <c r="K69" s="5" t="s">
        <v>28</v>
      </c>
      <c r="L69" s="5" t="s">
        <v>29</v>
      </c>
      <c r="M69" s="5" t="s">
        <v>30</v>
      </c>
      <c r="N69" s="5" t="s">
        <v>34</v>
      </c>
      <c r="O69" s="5" t="s">
        <v>7</v>
      </c>
      <c r="P69" s="5" t="s">
        <v>31</v>
      </c>
      <c r="Q69" s="5" t="s">
        <v>32</v>
      </c>
      <c r="R69" s="5" t="s">
        <v>28</v>
      </c>
      <c r="S69" s="5" t="s">
        <v>33</v>
      </c>
      <c r="T69" s="178"/>
    </row>
    <row r="70" spans="1:23" x14ac:dyDescent="0.25">
      <c r="A70" s="54" t="s">
        <v>111</v>
      </c>
      <c r="B70" s="160" t="s">
        <v>112</v>
      </c>
      <c r="C70" s="161"/>
      <c r="D70" s="161"/>
      <c r="E70" s="161"/>
      <c r="F70" s="161"/>
      <c r="G70" s="161"/>
      <c r="H70" s="161"/>
      <c r="I70" s="162"/>
      <c r="J70" s="55">
        <v>7</v>
      </c>
      <c r="K70" s="55">
        <v>2</v>
      </c>
      <c r="L70" s="55">
        <v>1</v>
      </c>
      <c r="M70" s="11">
        <v>2</v>
      </c>
      <c r="N70" s="52">
        <f>K70+L70+M70</f>
        <v>5</v>
      </c>
      <c r="O70" s="20">
        <f>P70-N70</f>
        <v>10</v>
      </c>
      <c r="P70" s="20">
        <f>ROUND(PRODUCT(J70,25)/12,0)</f>
        <v>15</v>
      </c>
      <c r="Q70" s="25" t="s">
        <v>32</v>
      </c>
      <c r="R70" s="11"/>
      <c r="S70" s="26"/>
      <c r="T70" s="11" t="s">
        <v>37</v>
      </c>
    </row>
    <row r="71" spans="1:23" x14ac:dyDescent="0.25">
      <c r="A71" s="54" t="s">
        <v>113</v>
      </c>
      <c r="B71" s="160" t="s">
        <v>114</v>
      </c>
      <c r="C71" s="161"/>
      <c r="D71" s="161"/>
      <c r="E71" s="161"/>
      <c r="F71" s="161"/>
      <c r="G71" s="161"/>
      <c r="H71" s="161"/>
      <c r="I71" s="162"/>
      <c r="J71" s="55">
        <v>6</v>
      </c>
      <c r="K71" s="55">
        <v>2</v>
      </c>
      <c r="L71" s="55">
        <v>1</v>
      </c>
      <c r="M71" s="11">
        <v>2</v>
      </c>
      <c r="N71" s="19">
        <f t="shared" ref="N71:N74" si="14">K71+L71+M71</f>
        <v>5</v>
      </c>
      <c r="O71" s="20">
        <f t="shared" ref="O71:O74" si="15">P71-N71</f>
        <v>8</v>
      </c>
      <c r="P71" s="20">
        <f t="shared" ref="P71:P74" si="16">ROUND(PRODUCT(J71,25)/12,0)</f>
        <v>13</v>
      </c>
      <c r="Q71" s="25" t="s">
        <v>32</v>
      </c>
      <c r="R71" s="11"/>
      <c r="S71" s="26"/>
      <c r="T71" s="11" t="s">
        <v>37</v>
      </c>
    </row>
    <row r="72" spans="1:23" x14ac:dyDescent="0.25">
      <c r="A72" s="54" t="s">
        <v>115</v>
      </c>
      <c r="B72" s="160" t="s">
        <v>116</v>
      </c>
      <c r="C72" s="161"/>
      <c r="D72" s="161"/>
      <c r="E72" s="161"/>
      <c r="F72" s="161"/>
      <c r="G72" s="161"/>
      <c r="H72" s="161"/>
      <c r="I72" s="162"/>
      <c r="J72" s="55">
        <v>7</v>
      </c>
      <c r="K72" s="55">
        <v>2</v>
      </c>
      <c r="L72" s="55">
        <v>1</v>
      </c>
      <c r="M72" s="11">
        <v>2</v>
      </c>
      <c r="N72" s="19">
        <f t="shared" si="14"/>
        <v>5</v>
      </c>
      <c r="O72" s="20">
        <f t="shared" si="15"/>
        <v>10</v>
      </c>
      <c r="P72" s="20">
        <f t="shared" si="16"/>
        <v>15</v>
      </c>
      <c r="Q72" s="25" t="s">
        <v>32</v>
      </c>
      <c r="R72" s="11"/>
      <c r="S72" s="26"/>
      <c r="T72" s="11" t="s">
        <v>37</v>
      </c>
    </row>
    <row r="73" spans="1:23" x14ac:dyDescent="0.25">
      <c r="A73" s="54" t="s">
        <v>119</v>
      </c>
      <c r="B73" s="160" t="s">
        <v>120</v>
      </c>
      <c r="C73" s="161"/>
      <c r="D73" s="161"/>
      <c r="E73" s="161"/>
      <c r="F73" s="161"/>
      <c r="G73" s="161"/>
      <c r="H73" s="161"/>
      <c r="I73" s="162"/>
      <c r="J73" s="55">
        <v>6</v>
      </c>
      <c r="K73" s="55">
        <v>2</v>
      </c>
      <c r="L73" s="55">
        <v>1</v>
      </c>
      <c r="M73" s="11">
        <v>2</v>
      </c>
      <c r="N73" s="19">
        <f t="shared" si="14"/>
        <v>5</v>
      </c>
      <c r="O73" s="20">
        <f t="shared" si="15"/>
        <v>8</v>
      </c>
      <c r="P73" s="20">
        <f t="shared" si="16"/>
        <v>13</v>
      </c>
      <c r="Q73" s="25"/>
      <c r="R73" s="11" t="s">
        <v>28</v>
      </c>
      <c r="S73" s="26"/>
      <c r="T73" s="11" t="s">
        <v>38</v>
      </c>
    </row>
    <row r="74" spans="1:23" x14ac:dyDescent="0.25">
      <c r="A74" s="54" t="s">
        <v>117</v>
      </c>
      <c r="B74" s="160" t="s">
        <v>118</v>
      </c>
      <c r="C74" s="161"/>
      <c r="D74" s="161"/>
      <c r="E74" s="161"/>
      <c r="F74" s="161"/>
      <c r="G74" s="161"/>
      <c r="H74" s="161"/>
      <c r="I74" s="162"/>
      <c r="J74" s="55">
        <v>4</v>
      </c>
      <c r="K74" s="55">
        <v>0</v>
      </c>
      <c r="L74" s="55">
        <v>0</v>
      </c>
      <c r="M74" s="11">
        <v>3</v>
      </c>
      <c r="N74" s="19">
        <f t="shared" si="14"/>
        <v>3</v>
      </c>
      <c r="O74" s="20">
        <f t="shared" si="15"/>
        <v>5</v>
      </c>
      <c r="P74" s="20">
        <f t="shared" si="16"/>
        <v>8</v>
      </c>
      <c r="Q74" s="25"/>
      <c r="R74" s="11"/>
      <c r="S74" s="26" t="s">
        <v>33</v>
      </c>
      <c r="T74" s="11" t="s">
        <v>38</v>
      </c>
    </row>
    <row r="75" spans="1:23" x14ac:dyDescent="0.25">
      <c r="A75" s="22" t="s">
        <v>25</v>
      </c>
      <c r="B75" s="103"/>
      <c r="C75" s="155"/>
      <c r="D75" s="155"/>
      <c r="E75" s="155"/>
      <c r="F75" s="155"/>
      <c r="G75" s="155"/>
      <c r="H75" s="155"/>
      <c r="I75" s="104"/>
      <c r="J75" s="22">
        <f t="shared" ref="J75:P75" si="17">SUM(J70:J74)</f>
        <v>30</v>
      </c>
      <c r="K75" s="22">
        <f t="shared" si="17"/>
        <v>8</v>
      </c>
      <c r="L75" s="22">
        <f t="shared" si="17"/>
        <v>4</v>
      </c>
      <c r="M75" s="22">
        <f t="shared" si="17"/>
        <v>11</v>
      </c>
      <c r="N75" s="22">
        <f t="shared" si="17"/>
        <v>23</v>
      </c>
      <c r="O75" s="22">
        <f t="shared" si="17"/>
        <v>41</v>
      </c>
      <c r="P75" s="22">
        <f t="shared" si="17"/>
        <v>64</v>
      </c>
      <c r="Q75" s="22">
        <f>COUNTIF(Q70:Q74,"E")</f>
        <v>3</v>
      </c>
      <c r="R75" s="22">
        <f>COUNTIF(R70:R74,"C")</f>
        <v>1</v>
      </c>
      <c r="S75" s="22">
        <f>COUNTIF(S70:S74,"VP")</f>
        <v>1</v>
      </c>
      <c r="T75" s="53">
        <f>COUNTA(T70:T74)</f>
        <v>5</v>
      </c>
      <c r="U75" s="213" t="str">
        <f>IF(Q75&gt;=SUM(R75:S75),"Corect","E trebuie să fie cel puțin egal cu C+VP")</f>
        <v>Corect</v>
      </c>
      <c r="V75" s="214"/>
      <c r="W75" s="214"/>
    </row>
    <row r="76" spans="1:23" ht="9" customHeight="1" x14ac:dyDescent="0.25"/>
    <row r="77" spans="1:23" x14ac:dyDescent="0.25">
      <c r="B77" s="2"/>
      <c r="C77" s="2"/>
      <c r="D77" s="2"/>
      <c r="E77" s="2"/>
      <c r="F77" s="2"/>
      <c r="G77" s="2"/>
      <c r="M77" s="8"/>
      <c r="N77" s="8"/>
      <c r="O77" s="8"/>
      <c r="P77" s="8"/>
      <c r="Q77" s="8"/>
      <c r="R77" s="8"/>
      <c r="S77" s="8"/>
    </row>
    <row r="80" spans="1:23" ht="19.5" customHeight="1" x14ac:dyDescent="0.25">
      <c r="A80" s="192" t="s">
        <v>46</v>
      </c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</row>
    <row r="81" spans="1:20" ht="27.75" customHeight="1" x14ac:dyDescent="0.25">
      <c r="A81" s="175" t="s">
        <v>27</v>
      </c>
      <c r="B81" s="168" t="s">
        <v>26</v>
      </c>
      <c r="C81" s="169"/>
      <c r="D81" s="169"/>
      <c r="E81" s="169"/>
      <c r="F81" s="169"/>
      <c r="G81" s="169"/>
      <c r="H81" s="169"/>
      <c r="I81" s="170"/>
      <c r="J81" s="184" t="s">
        <v>40</v>
      </c>
      <c r="K81" s="166" t="s">
        <v>24</v>
      </c>
      <c r="L81" s="166"/>
      <c r="M81" s="166"/>
      <c r="N81" s="166" t="s">
        <v>41</v>
      </c>
      <c r="O81" s="174"/>
      <c r="P81" s="174"/>
      <c r="Q81" s="166" t="s">
        <v>23</v>
      </c>
      <c r="R81" s="166"/>
      <c r="S81" s="166"/>
      <c r="T81" s="166" t="s">
        <v>22</v>
      </c>
    </row>
    <row r="82" spans="1:20" ht="12.75" customHeight="1" x14ac:dyDescent="0.25">
      <c r="A82" s="176"/>
      <c r="B82" s="171"/>
      <c r="C82" s="172"/>
      <c r="D82" s="172"/>
      <c r="E82" s="172"/>
      <c r="F82" s="172"/>
      <c r="G82" s="172"/>
      <c r="H82" s="172"/>
      <c r="I82" s="173"/>
      <c r="J82" s="178"/>
      <c r="K82" s="5" t="s">
        <v>28</v>
      </c>
      <c r="L82" s="5" t="s">
        <v>29</v>
      </c>
      <c r="M82" s="5" t="s">
        <v>30</v>
      </c>
      <c r="N82" s="5" t="s">
        <v>34</v>
      </c>
      <c r="O82" s="5" t="s">
        <v>7</v>
      </c>
      <c r="P82" s="5" t="s">
        <v>31</v>
      </c>
      <c r="Q82" s="5" t="s">
        <v>32</v>
      </c>
      <c r="R82" s="5" t="s">
        <v>28</v>
      </c>
      <c r="S82" s="5" t="s">
        <v>33</v>
      </c>
      <c r="T82" s="166"/>
    </row>
    <row r="83" spans="1:20" x14ac:dyDescent="0.25">
      <c r="A83" s="229" t="s">
        <v>157</v>
      </c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1"/>
    </row>
    <row r="84" spans="1:20" x14ac:dyDescent="0.25">
      <c r="A84" s="58" t="s">
        <v>142</v>
      </c>
      <c r="B84" s="163" t="s">
        <v>143</v>
      </c>
      <c r="C84" s="164"/>
      <c r="D84" s="164"/>
      <c r="E84" s="164"/>
      <c r="F84" s="164"/>
      <c r="G84" s="164"/>
      <c r="H84" s="164"/>
      <c r="I84" s="165"/>
      <c r="J84" s="55">
        <v>6</v>
      </c>
      <c r="K84" s="55">
        <v>2</v>
      </c>
      <c r="L84" s="55">
        <v>1</v>
      </c>
      <c r="M84" s="27">
        <v>2</v>
      </c>
      <c r="N84" s="20">
        <f>K84+L84+M84</f>
        <v>5</v>
      </c>
      <c r="O84" s="20">
        <f>P84-N84</f>
        <v>6</v>
      </c>
      <c r="P84" s="20">
        <f>ROUND(PRODUCT(J84,25)/14,0)</f>
        <v>11</v>
      </c>
      <c r="Q84" s="27"/>
      <c r="R84" s="27" t="s">
        <v>28</v>
      </c>
      <c r="S84" s="28"/>
      <c r="T84" s="11" t="s">
        <v>38</v>
      </c>
    </row>
    <row r="85" spans="1:20" s="62" customFormat="1" x14ac:dyDescent="0.25">
      <c r="A85" s="58" t="s">
        <v>144</v>
      </c>
      <c r="B85" s="59" t="s">
        <v>145</v>
      </c>
      <c r="C85" s="60"/>
      <c r="D85" s="60"/>
      <c r="E85" s="60"/>
      <c r="F85" s="60"/>
      <c r="G85" s="60"/>
      <c r="H85" s="60"/>
      <c r="I85" s="61"/>
      <c r="J85" s="55">
        <v>6</v>
      </c>
      <c r="K85" s="55">
        <v>2</v>
      </c>
      <c r="L85" s="55">
        <v>1</v>
      </c>
      <c r="M85" s="27">
        <v>2</v>
      </c>
      <c r="N85" s="20"/>
      <c r="O85" s="20"/>
      <c r="P85" s="20"/>
      <c r="Q85" s="27"/>
      <c r="R85" s="27"/>
      <c r="S85" s="28"/>
      <c r="T85" s="11"/>
    </row>
    <row r="86" spans="1:20" x14ac:dyDescent="0.25">
      <c r="A86" s="58" t="s">
        <v>146</v>
      </c>
      <c r="B86" s="163" t="s">
        <v>147</v>
      </c>
      <c r="C86" s="164"/>
      <c r="D86" s="164"/>
      <c r="E86" s="164"/>
      <c r="F86" s="164"/>
      <c r="G86" s="164"/>
      <c r="H86" s="164"/>
      <c r="I86" s="165"/>
      <c r="J86" s="55">
        <v>6</v>
      </c>
      <c r="K86" s="55">
        <v>2</v>
      </c>
      <c r="L86" s="55">
        <v>1</v>
      </c>
      <c r="M86" s="27">
        <v>2</v>
      </c>
      <c r="N86" s="20">
        <f t="shared" ref="N86:N88" si="18">K86+L86+M86</f>
        <v>5</v>
      </c>
      <c r="O86" s="20">
        <f t="shared" ref="O86:O88" si="19">P86-N86</f>
        <v>6</v>
      </c>
      <c r="P86" s="20">
        <f t="shared" ref="P86:P88" si="20">ROUND(PRODUCT(J86,25)/14,0)</f>
        <v>11</v>
      </c>
      <c r="Q86" s="27"/>
      <c r="R86" s="27" t="s">
        <v>28</v>
      </c>
      <c r="S86" s="28"/>
      <c r="T86" s="11" t="s">
        <v>38</v>
      </c>
    </row>
    <row r="87" spans="1:20" x14ac:dyDescent="0.25">
      <c r="A87" s="77" t="s">
        <v>148</v>
      </c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3"/>
    </row>
    <row r="88" spans="1:20" x14ac:dyDescent="0.25">
      <c r="A88" s="58" t="s">
        <v>138</v>
      </c>
      <c r="B88" s="163" t="s">
        <v>139</v>
      </c>
      <c r="C88" s="164"/>
      <c r="D88" s="164"/>
      <c r="E88" s="164"/>
      <c r="F88" s="164"/>
      <c r="G88" s="164"/>
      <c r="H88" s="164"/>
      <c r="I88" s="165"/>
      <c r="J88" s="55">
        <v>6</v>
      </c>
      <c r="K88" s="55">
        <v>2</v>
      </c>
      <c r="L88" s="55">
        <v>1</v>
      </c>
      <c r="M88" s="27">
        <v>2</v>
      </c>
      <c r="N88" s="20">
        <f t="shared" si="18"/>
        <v>5</v>
      </c>
      <c r="O88" s="20">
        <f t="shared" si="19"/>
        <v>6</v>
      </c>
      <c r="P88" s="20">
        <f t="shared" si="20"/>
        <v>11</v>
      </c>
      <c r="Q88" s="27" t="s">
        <v>32</v>
      </c>
      <c r="R88" s="27"/>
      <c r="S88" s="28"/>
      <c r="T88" s="11" t="s">
        <v>38</v>
      </c>
    </row>
    <row r="89" spans="1:20" x14ac:dyDescent="0.25">
      <c r="A89" s="58" t="s">
        <v>140</v>
      </c>
      <c r="B89" s="163" t="s">
        <v>141</v>
      </c>
      <c r="C89" s="164"/>
      <c r="D89" s="164"/>
      <c r="E89" s="164"/>
      <c r="F89" s="164"/>
      <c r="G89" s="164"/>
      <c r="H89" s="164"/>
      <c r="I89" s="165"/>
      <c r="J89" s="55">
        <v>6</v>
      </c>
      <c r="K89" s="55">
        <v>2</v>
      </c>
      <c r="L89" s="55">
        <v>1</v>
      </c>
      <c r="M89" s="27">
        <v>2</v>
      </c>
      <c r="N89" s="20">
        <f t="shared" ref="N89" si="21">K89+L89+M89</f>
        <v>5</v>
      </c>
      <c r="O89" s="20">
        <f t="shared" ref="O89" si="22">P89-N89</f>
        <v>6</v>
      </c>
      <c r="P89" s="20">
        <f t="shared" ref="P89" si="23">ROUND(PRODUCT(J89,25)/14,0)</f>
        <v>11</v>
      </c>
      <c r="Q89" s="27" t="s">
        <v>32</v>
      </c>
      <c r="R89" s="27"/>
      <c r="S89" s="28"/>
      <c r="T89" s="11" t="s">
        <v>38</v>
      </c>
    </row>
    <row r="90" spans="1:20" hidden="1" x14ac:dyDescent="0.25">
      <c r="A90" s="58"/>
      <c r="B90" s="163"/>
      <c r="C90" s="164"/>
      <c r="D90" s="164"/>
      <c r="E90" s="164"/>
      <c r="F90" s="164"/>
      <c r="G90" s="164"/>
      <c r="H90" s="164"/>
      <c r="I90" s="165"/>
      <c r="J90" s="55"/>
      <c r="K90" s="55"/>
      <c r="L90" s="55"/>
      <c r="M90" s="27"/>
      <c r="N90" s="20"/>
      <c r="O90" s="20"/>
      <c r="P90" s="20"/>
      <c r="Q90" s="27"/>
      <c r="R90" s="27"/>
      <c r="S90" s="28"/>
      <c r="T90" s="11"/>
    </row>
    <row r="91" spans="1:20" ht="24.75" customHeight="1" x14ac:dyDescent="0.25">
      <c r="A91" s="125" t="s">
        <v>73</v>
      </c>
      <c r="B91" s="126"/>
      <c r="C91" s="126"/>
      <c r="D91" s="126"/>
      <c r="E91" s="126"/>
      <c r="F91" s="126"/>
      <c r="G91" s="126"/>
      <c r="H91" s="126"/>
      <c r="I91" s="127"/>
      <c r="J91" s="24">
        <f>SUM(J84,J88)</f>
        <v>12</v>
      </c>
      <c r="K91" s="24">
        <f t="shared" ref="K91:P91" si="24">SUM(K84,K88)</f>
        <v>4</v>
      </c>
      <c r="L91" s="24">
        <f t="shared" si="24"/>
        <v>2</v>
      </c>
      <c r="M91" s="24">
        <f t="shared" si="24"/>
        <v>4</v>
      </c>
      <c r="N91" s="24">
        <f t="shared" si="24"/>
        <v>10</v>
      </c>
      <c r="O91" s="24">
        <f t="shared" si="24"/>
        <v>12</v>
      </c>
      <c r="P91" s="24">
        <f t="shared" si="24"/>
        <v>22</v>
      </c>
      <c r="Q91" s="24">
        <f>COUNTIF(Q84,"E")+COUNTIF(Q88,"E")</f>
        <v>1</v>
      </c>
      <c r="R91" s="24">
        <f>COUNTIF(R84,"C")+COUNTIF(R88,"C")</f>
        <v>1</v>
      </c>
      <c r="S91" s="24">
        <f>COUNTIF(S84,"VP")+COUNTIF(S88,"VP")</f>
        <v>0</v>
      </c>
      <c r="T91" s="29"/>
    </row>
    <row r="92" spans="1:20" ht="13.5" customHeight="1" x14ac:dyDescent="0.25">
      <c r="A92" s="134" t="s">
        <v>48</v>
      </c>
      <c r="B92" s="135"/>
      <c r="C92" s="135"/>
      <c r="D92" s="135"/>
      <c r="E92" s="135"/>
      <c r="F92" s="135"/>
      <c r="G92" s="135"/>
      <c r="H92" s="135"/>
      <c r="I92" s="135"/>
      <c r="J92" s="136"/>
      <c r="K92" s="24">
        <f>SUM(K84)*14+K88*12</f>
        <v>52</v>
      </c>
      <c r="L92" s="24">
        <f t="shared" ref="L92:P92" si="25">SUM(L84)*14+L88*12</f>
        <v>26</v>
      </c>
      <c r="M92" s="24">
        <f t="shared" si="25"/>
        <v>52</v>
      </c>
      <c r="N92" s="24">
        <f>SUM(N84)*14+N88*12</f>
        <v>130</v>
      </c>
      <c r="O92" s="24">
        <f t="shared" si="25"/>
        <v>156</v>
      </c>
      <c r="P92" s="24">
        <f t="shared" si="25"/>
        <v>286</v>
      </c>
      <c r="Q92" s="140"/>
      <c r="R92" s="141"/>
      <c r="S92" s="141"/>
      <c r="T92" s="142"/>
    </row>
    <row r="93" spans="1:20" x14ac:dyDescent="0.25">
      <c r="A93" s="137"/>
      <c r="B93" s="138"/>
      <c r="C93" s="138"/>
      <c r="D93" s="138"/>
      <c r="E93" s="138"/>
      <c r="F93" s="138"/>
      <c r="G93" s="138"/>
      <c r="H93" s="138"/>
      <c r="I93" s="138"/>
      <c r="J93" s="139"/>
      <c r="K93" s="128">
        <f>SUM(K92:M92)</f>
        <v>130</v>
      </c>
      <c r="L93" s="129"/>
      <c r="M93" s="130"/>
      <c r="N93" s="131">
        <f>SUM(N92:O92)</f>
        <v>286</v>
      </c>
      <c r="O93" s="132"/>
      <c r="P93" s="133"/>
      <c r="Q93" s="143"/>
      <c r="R93" s="144"/>
      <c r="S93" s="144"/>
      <c r="T93" s="145"/>
    </row>
    <row r="94" spans="1:20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3"/>
      <c r="L94" s="13"/>
      <c r="M94" s="13"/>
      <c r="N94" s="14"/>
      <c r="O94" s="14"/>
      <c r="P94" s="14"/>
      <c r="Q94" s="15"/>
      <c r="R94" s="15"/>
      <c r="S94" s="15"/>
      <c r="T94" s="15"/>
    </row>
    <row r="95" spans="1:20" x14ac:dyDescent="0.25">
      <c r="B95" s="2"/>
      <c r="C95" s="2"/>
      <c r="D95" s="2"/>
      <c r="E95" s="2"/>
      <c r="F95" s="2"/>
      <c r="G95" s="2"/>
      <c r="M95" s="8"/>
      <c r="N95" s="8"/>
      <c r="O95" s="8"/>
      <c r="P95" s="8"/>
      <c r="Q95" s="8"/>
      <c r="R95" s="8"/>
      <c r="S95" s="8"/>
    </row>
    <row r="96" spans="1:20" ht="1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3"/>
      <c r="L96" s="13"/>
      <c r="M96" s="13"/>
      <c r="N96" s="16"/>
      <c r="O96" s="16"/>
      <c r="P96" s="16"/>
      <c r="Q96" s="16"/>
      <c r="R96" s="16"/>
      <c r="S96" s="16"/>
      <c r="T96" s="16"/>
    </row>
    <row r="97" spans="1:20" ht="1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3"/>
      <c r="L97" s="13"/>
      <c r="M97" s="13"/>
      <c r="N97" s="16"/>
      <c r="O97" s="16"/>
      <c r="P97" s="16"/>
      <c r="Q97" s="16"/>
      <c r="R97" s="16"/>
      <c r="S97" s="16"/>
      <c r="T97" s="16"/>
    </row>
    <row r="98" spans="1:20" ht="24" customHeight="1" x14ac:dyDescent="0.25">
      <c r="A98" s="172" t="s">
        <v>49</v>
      </c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</row>
    <row r="99" spans="1:20" ht="16.5" customHeight="1" x14ac:dyDescent="0.25">
      <c r="A99" s="103" t="s">
        <v>50</v>
      </c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04"/>
    </row>
    <row r="100" spans="1:20" ht="34.5" customHeight="1" x14ac:dyDescent="0.25">
      <c r="A100" s="124" t="s">
        <v>27</v>
      </c>
      <c r="B100" s="124" t="s">
        <v>26</v>
      </c>
      <c r="C100" s="124"/>
      <c r="D100" s="124"/>
      <c r="E100" s="124"/>
      <c r="F100" s="124"/>
      <c r="G100" s="124"/>
      <c r="H100" s="124"/>
      <c r="I100" s="124"/>
      <c r="J100" s="102" t="s">
        <v>40</v>
      </c>
      <c r="K100" s="102" t="s">
        <v>24</v>
      </c>
      <c r="L100" s="102"/>
      <c r="M100" s="102"/>
      <c r="N100" s="102" t="s">
        <v>41</v>
      </c>
      <c r="O100" s="102"/>
      <c r="P100" s="102"/>
      <c r="Q100" s="102" t="s">
        <v>23</v>
      </c>
      <c r="R100" s="102"/>
      <c r="S100" s="102"/>
      <c r="T100" s="102" t="s">
        <v>22</v>
      </c>
    </row>
    <row r="101" spans="1:20" x14ac:dyDescent="0.25">
      <c r="A101" s="124"/>
      <c r="B101" s="124"/>
      <c r="C101" s="124"/>
      <c r="D101" s="124"/>
      <c r="E101" s="124"/>
      <c r="F101" s="124"/>
      <c r="G101" s="124"/>
      <c r="H101" s="124"/>
      <c r="I101" s="124"/>
      <c r="J101" s="102"/>
      <c r="K101" s="31" t="s">
        <v>28</v>
      </c>
      <c r="L101" s="31" t="s">
        <v>29</v>
      </c>
      <c r="M101" s="31" t="s">
        <v>30</v>
      </c>
      <c r="N101" s="31" t="s">
        <v>34</v>
      </c>
      <c r="O101" s="31" t="s">
        <v>7</v>
      </c>
      <c r="P101" s="31" t="s">
        <v>31</v>
      </c>
      <c r="Q101" s="31" t="s">
        <v>32</v>
      </c>
      <c r="R101" s="31" t="s">
        <v>28</v>
      </c>
      <c r="S101" s="31" t="s">
        <v>33</v>
      </c>
      <c r="T101" s="102"/>
    </row>
    <row r="102" spans="1:20" ht="17.25" customHeight="1" x14ac:dyDescent="0.25">
      <c r="A102" s="103" t="s">
        <v>62</v>
      </c>
      <c r="B102" s="155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04"/>
    </row>
    <row r="103" spans="1:20" x14ac:dyDescent="0.25">
      <c r="A103" s="32" t="str">
        <f>IF(ISNA(INDEX($A$37:$T$95,MATCH($B103,$B$37:$B$95,0),1)),"",INDEX($A$37:$T$95,MATCH($B103,$B$37:$B$95,0),1))</f>
        <v>MMM3085</v>
      </c>
      <c r="B103" s="123" t="s">
        <v>108</v>
      </c>
      <c r="C103" s="123"/>
      <c r="D103" s="123"/>
      <c r="E103" s="123"/>
      <c r="F103" s="123"/>
      <c r="G103" s="123"/>
      <c r="H103" s="123"/>
      <c r="I103" s="123"/>
      <c r="J103" s="20">
        <f>IF(ISNA(INDEX($A$37:$T$95,MATCH($B103,$B$37:$B$95,0),10)),"",INDEX($A$37:$T$95,MATCH($B103,$B$37:$B$95,0),10))</f>
        <v>7</v>
      </c>
      <c r="K103" s="20">
        <f>IF(ISNA(INDEX($A$37:$T$95,MATCH($B103,$B$37:$B$95,0),11)),"",INDEX($A$37:$T$95,MATCH($B103,$B$37:$B$95,0),11))</f>
        <v>2</v>
      </c>
      <c r="L103" s="20">
        <f>IF(ISNA(INDEX($A$37:$T$95,MATCH($B103,$B$37:$B$95,0),12)),"",INDEX($A$37:$T$95,MATCH($B103,$B$37:$B$95,0),12))</f>
        <v>1</v>
      </c>
      <c r="M103" s="20">
        <f>IF(ISNA(INDEX($A$37:$T$95,MATCH($B103,$B$37:$B$95,0),13)),"",INDEX($A$37:$T$95,MATCH($B103,$B$37:$B$95,0),13))</f>
        <v>2</v>
      </c>
      <c r="N103" s="20">
        <f>IF(ISNA(INDEX($A$37:$T$95,MATCH($B103,$B$37:$B$95,0),14)),"",INDEX($A$37:$T$95,MATCH($B103,$B$37:$B$95,0),14))</f>
        <v>5</v>
      </c>
      <c r="O103" s="20">
        <f>IF(ISNA(INDEX($A$37:$T$95,MATCH($B103,$B$37:$B$95,0),15)),"",INDEX($A$37:$T$95,MATCH($B103,$B$37:$B$95,0),15))</f>
        <v>8</v>
      </c>
      <c r="P103" s="20">
        <f>IF(ISNA(INDEX($A$37:$T$95,MATCH($B103,$B$37:$B$95,0),16)),"",INDEX($A$37:$T$95,MATCH($B103,$B$37:$B$95,0),16))</f>
        <v>13</v>
      </c>
      <c r="Q103" s="30" t="str">
        <f>IF(ISNA(INDEX($A$37:$T$95,MATCH($B103,$B$37:$B$95,0),17)),"",INDEX($A$37:$T$95,MATCH($B103,$B$37:$B$95,0),17))</f>
        <v>E</v>
      </c>
      <c r="R103" s="30">
        <f>IF(ISNA(INDEX($A$37:$T$95,MATCH($B103,$B$37:$B$95,0),18)),"",INDEX($A$37:$T$95,MATCH($B103,$B$37:$B$95,0),18))</f>
        <v>0</v>
      </c>
      <c r="S103" s="30">
        <f>IF(ISNA(INDEX($A$37:$T$95,MATCH($B103,$B$37:$B$95,0),19)),"",INDEX($A$37:$T$95,MATCH($B103,$B$37:$B$95,0),19))</f>
        <v>0</v>
      </c>
      <c r="T103" s="21" t="s">
        <v>37</v>
      </c>
    </row>
    <row r="104" spans="1:20" x14ac:dyDescent="0.25">
      <c r="A104" s="32" t="str">
        <f>IF(ISNA(INDEX($A$37:$T$95,MATCH($B104,$B$37:$B$95,0),1)),"",INDEX($A$37:$T$95,MATCH($B104,$B$37:$B$95,0),1))</f>
        <v>MMM3012</v>
      </c>
      <c r="B104" s="123" t="s">
        <v>110</v>
      </c>
      <c r="C104" s="123"/>
      <c r="D104" s="123"/>
      <c r="E104" s="123"/>
      <c r="F104" s="123"/>
      <c r="G104" s="123"/>
      <c r="H104" s="123"/>
      <c r="I104" s="123"/>
      <c r="J104" s="20">
        <f>IF(ISNA(INDEX($A$37:$T$95,MATCH($B104,$B$37:$B$95,0),10)),"",INDEX($A$37:$T$95,MATCH($B104,$B$37:$B$95,0),10))</f>
        <v>7</v>
      </c>
      <c r="K104" s="20">
        <f>IF(ISNA(INDEX($A$37:$T$95,MATCH($B104,$B$37:$B$95,0),11)),"",INDEX($A$37:$T$95,MATCH($B104,$B$37:$B$95,0),11))</f>
        <v>2</v>
      </c>
      <c r="L104" s="20">
        <f>IF(ISNA(INDEX($A$37:$T$95,MATCH($B104,$B$37:$B$95,0),12)),"",INDEX($A$37:$T$95,MATCH($B104,$B$37:$B$95,0),12))</f>
        <v>1</v>
      </c>
      <c r="M104" s="20">
        <f>IF(ISNA(INDEX($A$37:$T$95,MATCH($B104,$B$37:$B$95,0),13)),"",INDEX($A$37:$T$95,MATCH($B104,$B$37:$B$95,0),13))</f>
        <v>2</v>
      </c>
      <c r="N104" s="20">
        <f>IF(ISNA(INDEX($A$37:$T$95,MATCH($B104,$B$37:$B$95,0),14)),"",INDEX($A$37:$T$95,MATCH($B104,$B$37:$B$95,0),14))</f>
        <v>5</v>
      </c>
      <c r="O104" s="20">
        <f>IF(ISNA(INDEX($A$37:$T$95,MATCH($B104,$B$37:$B$95,0),15)),"",INDEX($A$37:$T$95,MATCH($B104,$B$37:$B$95,0),15))</f>
        <v>8</v>
      </c>
      <c r="P104" s="20">
        <f>IF(ISNA(INDEX($A$37:$T$95,MATCH($B104,$B$37:$B$95,0),16)),"",INDEX($A$37:$T$95,MATCH($B104,$B$37:$B$95,0),16))</f>
        <v>13</v>
      </c>
      <c r="Q104" s="30">
        <f>IF(ISNA(INDEX($A$37:$T$95,MATCH($B104,$B$37:$B$95,0),17)),"",INDEX($A$37:$T$95,MATCH($B104,$B$37:$B$95,0),17))</f>
        <v>0</v>
      </c>
      <c r="R104" s="30" t="str">
        <f>IF(ISNA(INDEX($A$37:$T$95,MATCH($B104,$B$37:$B$95,0),18)),"",INDEX($A$37:$T$95,MATCH($B104,$B$37:$B$95,0),18))</f>
        <v>C</v>
      </c>
      <c r="S104" s="30">
        <f>IF(ISNA(INDEX($A$37:$T$95,MATCH($B104,$B$37:$B$95,0),19)),"",INDEX($A$37:$T$95,MATCH($B104,$B$37:$B$95,0),19))</f>
        <v>0</v>
      </c>
      <c r="T104" s="21" t="s">
        <v>37</v>
      </c>
    </row>
    <row r="105" spans="1:20" x14ac:dyDescent="0.25">
      <c r="A105" s="32" t="str">
        <f>IF(ISNA(INDEX($A$37:$T$94,MATCH($B105,$B$37:$B$94,0),1)),"",INDEX($A$37:$T$94,MATCH($B105,$B$37:$B$94,0),1))</f>
        <v>MMM3037</v>
      </c>
      <c r="B105" s="123" t="s">
        <v>131</v>
      </c>
      <c r="C105" s="123"/>
      <c r="D105" s="123"/>
      <c r="E105" s="123"/>
      <c r="F105" s="123"/>
      <c r="G105" s="123"/>
      <c r="H105" s="123"/>
      <c r="I105" s="123"/>
      <c r="J105" s="20">
        <f>IF(ISNA(INDEX($A$37:$T$94,MATCH($B105,$B$37:$B$94,0),10)),"",INDEX($A$37:$T$94,MATCH($B105,$B$37:$B$94,0),10))</f>
        <v>7</v>
      </c>
      <c r="K105" s="20">
        <f>IF(ISNA(INDEX($A$37:$T$94,MATCH($B105,$B$37:$B$94,0),11)),"",INDEX($A$37:$T$94,MATCH($B105,$B$37:$B$94,0),11))</f>
        <v>2</v>
      </c>
      <c r="L105" s="20">
        <f>IF(ISNA(INDEX($A$37:$T$94,MATCH($B105,$B$37:$B$94,0),12)),"",INDEX($A$37:$T$94,MATCH($B105,$B$37:$B$94,0),12))</f>
        <v>1</v>
      </c>
      <c r="M105" s="20">
        <f>IF(ISNA(INDEX($A$37:$T$94,MATCH($B105,$B$37:$B$94,0),13)),"",INDEX($A$37:$T$94,MATCH($B105,$B$37:$B$94,0),13))</f>
        <v>2</v>
      </c>
      <c r="N105" s="20">
        <f>IF(ISNA(INDEX($A$37:$T$95,MATCH($B105,$B$37:$B$95,0),14)),"",INDEX($A$37:$T$95,MATCH($B105,$B$37:$B$95,0),14))</f>
        <v>5</v>
      </c>
      <c r="O105" s="20">
        <f>IF(ISNA(INDEX($A$37:$T$95,MATCH($B105,$B$37:$B$95,0),15)),"",INDEX($A$37:$T$95,MATCH($B105,$B$37:$B$95,0),15))</f>
        <v>8</v>
      </c>
      <c r="P105" s="20">
        <f>IF(ISNA(INDEX($A$37:$T$95,MATCH($B105,$B$37:$B$95,0),16)),"",INDEX($A$37:$T$95,MATCH($B105,$B$37:$B$95,0),16))</f>
        <v>13</v>
      </c>
      <c r="Q105" s="30">
        <f>IF(ISNA(INDEX($A$37:$T$95,MATCH($B105,$B$37:$B$95,0),17)),"",INDEX($A$37:$T$95,MATCH($B105,$B$37:$B$95,0),17))</f>
        <v>0</v>
      </c>
      <c r="R105" s="30" t="str">
        <f>IF(ISNA(INDEX($A$37:$T$95,MATCH($B105,$B$37:$B$95,0),18)),"",INDEX($A$37:$T$95,MATCH($B105,$B$37:$B$95,0),18))</f>
        <v>C</v>
      </c>
      <c r="S105" s="30">
        <f>IF(ISNA(INDEX($A$37:$T$95,MATCH($B105,$B$37:$B$95,0),19)),"",INDEX($A$37:$T$95,MATCH($B105,$B$37:$B$95,0),19))</f>
        <v>0</v>
      </c>
      <c r="T105" s="21" t="s">
        <v>37</v>
      </c>
    </row>
    <row r="106" spans="1:20" hidden="1" x14ac:dyDescent="0.25">
      <c r="A106" s="32"/>
      <c r="B106" s="123"/>
      <c r="C106" s="123"/>
      <c r="D106" s="123"/>
      <c r="E106" s="123"/>
      <c r="F106" s="123"/>
      <c r="G106" s="123"/>
      <c r="H106" s="123"/>
      <c r="I106" s="123"/>
      <c r="J106" s="20"/>
      <c r="K106" s="20"/>
      <c r="L106" s="20"/>
      <c r="M106" s="20"/>
      <c r="N106" s="20"/>
      <c r="O106" s="20"/>
      <c r="P106" s="20"/>
      <c r="Q106" s="30"/>
      <c r="R106" s="30"/>
      <c r="S106" s="30"/>
      <c r="T106" s="21"/>
    </row>
    <row r="107" spans="1:20" hidden="1" x14ac:dyDescent="0.25">
      <c r="A107" s="32"/>
      <c r="B107" s="123"/>
      <c r="C107" s="123"/>
      <c r="D107" s="123"/>
      <c r="E107" s="123"/>
      <c r="F107" s="123"/>
      <c r="G107" s="123"/>
      <c r="H107" s="123"/>
      <c r="I107" s="123"/>
      <c r="J107" s="20"/>
      <c r="K107" s="20"/>
      <c r="L107" s="20"/>
      <c r="M107" s="20"/>
      <c r="N107" s="20"/>
      <c r="O107" s="20"/>
      <c r="P107" s="20"/>
      <c r="Q107" s="30"/>
      <c r="R107" s="30"/>
      <c r="S107" s="30"/>
      <c r="T107" s="21"/>
    </row>
    <row r="108" spans="1:20" x14ac:dyDescent="0.25">
      <c r="A108" s="32" t="str">
        <f>IF(ISNA(INDEX($A$37:$T$95,MATCH($B108,$B$37:$B$95,0),1)),"",INDEX($A$37:$T$95,MATCH($B108,$B$37:$B$95,0),1))</f>
        <v>MME3125</v>
      </c>
      <c r="B108" s="123" t="s">
        <v>124</v>
      </c>
      <c r="C108" s="123"/>
      <c r="D108" s="123"/>
      <c r="E108" s="123"/>
      <c r="F108" s="123"/>
      <c r="G108" s="123"/>
      <c r="H108" s="123"/>
      <c r="I108" s="123"/>
      <c r="J108" s="20">
        <f>IF(ISNA(INDEX($A$37:$T$95,MATCH($B108,$B$37:$B$95,0),10)),"",INDEX($A$37:$T$95,MATCH($B108,$B$37:$B$95,0),10))</f>
        <v>8</v>
      </c>
      <c r="K108" s="20">
        <f>IF(ISNA(INDEX($A$37:$T$95,MATCH($B108,$B$37:$B$95,0),11)),"",INDEX($A$37:$T$95,MATCH($B108,$B$37:$B$95,0),11))</f>
        <v>2</v>
      </c>
      <c r="L108" s="20">
        <f>IF(ISNA(INDEX($A$37:$T$95,MATCH($B108,$B$37:$B$95,0),12)),"",INDEX($A$37:$T$95,MATCH($B108,$B$37:$B$95,0),12))</f>
        <v>1</v>
      </c>
      <c r="M108" s="20">
        <f>IF(ISNA(INDEX($A$37:$T$95,MATCH($B108,$B$37:$B$95,0),13)),"",INDEX($A$37:$T$95,MATCH($B108,$B$37:$B$95,0),13))</f>
        <v>2</v>
      </c>
      <c r="N108" s="20">
        <f>IF(ISNA(INDEX($A$37:$T$95,MATCH($B108,$B$37:$B$95,0),14)),"",INDEX($A$37:$T$95,MATCH($B108,$B$37:$B$95,0),14))</f>
        <v>5</v>
      </c>
      <c r="O108" s="20">
        <f>IF(ISNA(INDEX($A$37:$T$95,MATCH($B108,$B$37:$B$95,0),15)),"",INDEX($A$37:$T$95,MATCH($B108,$B$37:$B$95,0),15))</f>
        <v>9</v>
      </c>
      <c r="P108" s="20">
        <f>IF(ISNA(INDEX($A$37:$T$95,MATCH($B108,$B$37:$B$95,0),16)),"",INDEX($A$37:$T$95,MATCH($B108,$B$37:$B$95,0),16))</f>
        <v>14</v>
      </c>
      <c r="Q108" s="30" t="str">
        <f>IF(ISNA(INDEX($A$37:$T$95,MATCH($B108,$B$37:$B$95,0),17)),"",INDEX($A$37:$T$95,MATCH($B108,$B$37:$B$95,0),17))</f>
        <v>E</v>
      </c>
      <c r="R108" s="30">
        <f>IF(ISNA(INDEX($A$37:$T$95,MATCH($B108,$B$37:$B$95,0),18)),"",INDEX($A$37:$T$95,MATCH($B108,$B$37:$B$95,0),18))</f>
        <v>0</v>
      </c>
      <c r="S108" s="30">
        <f>IF(ISNA(INDEX($A$37:$T$95,MATCH($B108,$B$37:$B$95,0),19)),"",INDEX($A$37:$T$95,MATCH($B108,$B$37:$B$95,0),19))</f>
        <v>0</v>
      </c>
      <c r="T108" s="21" t="s">
        <v>37</v>
      </c>
    </row>
    <row r="109" spans="1:20" x14ac:dyDescent="0.25">
      <c r="A109" s="32" t="str">
        <f>IF(ISNA(INDEX($A$37:$T$95,MATCH($B109,$B$37:$B$95,0),1)),"",INDEX($A$37:$T$95,MATCH($B109,$B$37:$B$95,0),1))</f>
        <v>MMM3033</v>
      </c>
      <c r="B109" s="123" t="s">
        <v>126</v>
      </c>
      <c r="C109" s="123"/>
      <c r="D109" s="123"/>
      <c r="E109" s="123"/>
      <c r="F109" s="123"/>
      <c r="G109" s="123"/>
      <c r="H109" s="123"/>
      <c r="I109" s="123"/>
      <c r="J109" s="20">
        <f>IF(ISNA(INDEX($A$37:$T$95,MATCH($B109,$B$37:$B$95,0),10)),"",INDEX($A$37:$T$95,MATCH($B109,$B$37:$B$95,0),10))</f>
        <v>8</v>
      </c>
      <c r="K109" s="20">
        <f>IF(ISNA(INDEX($A$37:$T$95,MATCH($B109,$B$37:$B$95,0),11)),"",INDEX($A$37:$T$95,MATCH($B109,$B$37:$B$95,0),11))</f>
        <v>2</v>
      </c>
      <c r="L109" s="20">
        <f>IF(ISNA(INDEX($A$37:$T$95,MATCH($B109,$B$37:$B$95,0),12)),"",INDEX($A$37:$T$95,MATCH($B109,$B$37:$B$95,0),12))</f>
        <v>1</v>
      </c>
      <c r="M109" s="20">
        <f>IF(ISNA(INDEX($A$37:$T$95,MATCH($B109,$B$37:$B$95,0),13)),"",INDEX($A$37:$T$95,MATCH($B109,$B$37:$B$95,0),13))</f>
        <v>2</v>
      </c>
      <c r="N109" s="20">
        <f>IF(ISNA(INDEX($A$37:$T$95,MATCH($B109,$B$37:$B$95,0),14)),"",INDEX($A$37:$T$95,MATCH($B109,$B$37:$B$95,0),14))</f>
        <v>5</v>
      </c>
      <c r="O109" s="20">
        <f>IF(ISNA(INDEX($A$37:$T$95,MATCH($B109,$B$37:$B$95,0),15)),"",INDEX($A$37:$T$95,MATCH($B109,$B$37:$B$95,0),15))</f>
        <v>9</v>
      </c>
      <c r="P109" s="20">
        <f>IF(ISNA(INDEX($A$37:$T$95,MATCH($B109,$B$37:$B$95,0),16)),"",INDEX($A$37:$T$95,MATCH($B109,$B$37:$B$95,0),16))</f>
        <v>14</v>
      </c>
      <c r="Q109" s="30" t="str">
        <f>IF(ISNA(INDEX($A$37:$T$95,MATCH($B109,$B$37:$B$95,0),17)),"",INDEX($A$37:$T$95,MATCH($B109,$B$37:$B$95,0),17))</f>
        <v>E</v>
      </c>
      <c r="R109" s="30">
        <f>IF(ISNA(INDEX($A$37:$T$95,MATCH($B109,$B$37:$B$95,0),18)),"",INDEX($A$37:$T$95,MATCH($B109,$B$37:$B$95,0),18))</f>
        <v>0</v>
      </c>
      <c r="S109" s="30">
        <f>IF(ISNA(INDEX($A$37:$T$95,MATCH($B109,$B$37:$B$95,0),19)),"",INDEX($A$37:$T$95,MATCH($B109,$B$37:$B$95,0),19))</f>
        <v>0</v>
      </c>
      <c r="T109" s="21" t="s">
        <v>37</v>
      </c>
    </row>
    <row r="110" spans="1:20" x14ac:dyDescent="0.25">
      <c r="A110" s="32" t="str">
        <f>IF(ISNA(INDEX($A$37:$T$95,MATCH($B110,$B$37:$B$95,0),1)),"",INDEX($A$37:$T$95,MATCH($B110,$B$37:$B$95,0),1))</f>
        <v>MME3057</v>
      </c>
      <c r="B110" s="123" t="s">
        <v>128</v>
      </c>
      <c r="C110" s="123"/>
      <c r="D110" s="123"/>
      <c r="E110" s="123"/>
      <c r="F110" s="123"/>
      <c r="G110" s="123"/>
      <c r="H110" s="123"/>
      <c r="I110" s="123"/>
      <c r="J110" s="20">
        <f>IF(ISNA(INDEX($A$37:$T$95,MATCH($B110,$B$37:$B$95,0),10)),"",INDEX($A$37:$T$95,MATCH($B110,$B$37:$B$95,0),10))</f>
        <v>7</v>
      </c>
      <c r="K110" s="20">
        <f>IF(ISNA(INDEX($A$37:$T$95,MATCH($B110,$B$37:$B$95,0),11)),"",INDEX($A$37:$T$95,MATCH($B110,$B$37:$B$95,0),11))</f>
        <v>2</v>
      </c>
      <c r="L110" s="20">
        <f>IF(ISNA(INDEX($A$37:$T$95,MATCH($B110,$B$37:$B$95,0),12)),"",INDEX($A$37:$T$95,MATCH($B110,$B$37:$B$95,0),12))</f>
        <v>1</v>
      </c>
      <c r="M110" s="20">
        <f>IF(ISNA(INDEX($A$37:$T$95,MATCH($B110,$B$37:$B$95,0),13)),"",INDEX($A$37:$T$95,MATCH($B110,$B$37:$B$95,0),13))</f>
        <v>2</v>
      </c>
      <c r="N110" s="20">
        <f>IF(ISNA(INDEX($A$37:$T$95,MATCH($B110,$B$37:$B$95,0),14)),"",INDEX($A$37:$T$95,MATCH($B110,$B$37:$B$95,0),14))</f>
        <v>5</v>
      </c>
      <c r="O110" s="20">
        <f>IF(ISNA(INDEX($A$37:$T$95,MATCH($B110,$B$37:$B$95,0),15)),"",INDEX($A$37:$T$95,MATCH($B110,$B$37:$B$95,0),15))</f>
        <v>8</v>
      </c>
      <c r="P110" s="20">
        <f>IF(ISNA(INDEX($A$37:$T$95,MATCH($B110,$B$37:$B$95,0),16)),"",INDEX($A$37:$T$95,MATCH($B110,$B$37:$B$95,0),16))</f>
        <v>13</v>
      </c>
      <c r="Q110" s="30">
        <f>IF(ISNA(INDEX($A$37:$T$95,MATCH($B110,$B$37:$B$95,0),17)),"",INDEX($A$37:$T$95,MATCH($B110,$B$37:$B$95,0),17))</f>
        <v>0</v>
      </c>
      <c r="R110" s="30" t="str">
        <f>IF(ISNA(INDEX($A$37:$T$95,MATCH($B110,$B$37:$B$95,0),18)),"",INDEX($A$37:$T$95,MATCH($B110,$B$37:$B$95,0),18))</f>
        <v>C</v>
      </c>
      <c r="S110" s="30">
        <f>IF(ISNA(INDEX($A$37:$T$95,MATCH($B110,$B$37:$B$95,0),19)),"",INDEX($A$37:$T$95,MATCH($B110,$B$37:$B$95,0),19))</f>
        <v>0</v>
      </c>
      <c r="T110" s="21" t="s">
        <v>37</v>
      </c>
    </row>
    <row r="111" spans="1:20" x14ac:dyDescent="0.25">
      <c r="A111" s="32" t="str">
        <f>IF(ISNA(INDEX($A$37:$T$95,MATCH($B111,$B$37:$B$95,0),1)),"",INDEX($A$37:$T$95,MATCH($B111,$B$37:$B$95,0),1))</f>
        <v>MMM3090</v>
      </c>
      <c r="B111" s="123" t="s">
        <v>129</v>
      </c>
      <c r="C111" s="123"/>
      <c r="D111" s="123"/>
      <c r="E111" s="123"/>
      <c r="F111" s="123"/>
      <c r="G111" s="123"/>
      <c r="H111" s="123"/>
      <c r="I111" s="123"/>
      <c r="J111" s="20">
        <f>IF(ISNA(INDEX($A$37:$T$95,MATCH($B111,$B$37:$B$95,0),10)),"",INDEX($A$37:$T$95,MATCH($B111,$B$37:$B$95,0),10))</f>
        <v>7</v>
      </c>
      <c r="K111" s="20">
        <f>IF(ISNA(INDEX($A$37:$T$95,MATCH($B111,$B$37:$B$95,0),11)),"",INDEX($A$37:$T$95,MATCH($B111,$B$37:$B$95,0),11))</f>
        <v>2</v>
      </c>
      <c r="L111" s="20">
        <f>IF(ISNA(INDEX($A$37:$T$95,MATCH($B111,$B$37:$B$95,0),12)),"",INDEX($A$37:$T$95,MATCH($B111,$B$37:$B$95,0),12))</f>
        <v>1</v>
      </c>
      <c r="M111" s="20">
        <f>IF(ISNA(INDEX($A$37:$T$95,MATCH($B111,$B$37:$B$95,0),13)),"",INDEX($A$37:$T$95,MATCH($B111,$B$37:$B$95,0),13))</f>
        <v>2</v>
      </c>
      <c r="N111" s="20">
        <f>IF(ISNA(INDEX($A$37:$T$95,MATCH($B111,$B$37:$B$95,0),14)),"",INDEX($A$37:$T$95,MATCH($B111,$B$37:$B$95,0),14))</f>
        <v>5</v>
      </c>
      <c r="O111" s="20">
        <f>IF(ISNA(INDEX($A$37:$T$95,MATCH($B111,$B$37:$B$95,0),15)),"",INDEX($A$37:$T$95,MATCH($B111,$B$37:$B$95,0),15))</f>
        <v>8</v>
      </c>
      <c r="P111" s="20">
        <f>IF(ISNA(INDEX($A$37:$T$95,MATCH($B111,$B$37:$B$95,0),16)),"",INDEX($A$37:$T$95,MATCH($B111,$B$37:$B$95,0),16))</f>
        <v>13</v>
      </c>
      <c r="Q111" s="30">
        <f>IF(ISNA(INDEX($A$37:$T$95,MATCH($B111,$B$37:$B$95,0),17)),"",INDEX($A$37:$T$95,MATCH($B111,$B$37:$B$95,0),17))</f>
        <v>0</v>
      </c>
      <c r="R111" s="30" t="str">
        <f>IF(ISNA(INDEX($A$37:$T$95,MATCH($B111,$B$37:$B$95,0),18)),"",INDEX($A$37:$T$95,MATCH($B111,$B$37:$B$95,0),18))</f>
        <v>C</v>
      </c>
      <c r="S111" s="30">
        <f>IF(ISNA(INDEX($A$37:$T$95,MATCH($B111,$B$37:$B$95,0),19)),"",INDEX($A$37:$T$95,MATCH($B111,$B$37:$B$95,0),19))</f>
        <v>0</v>
      </c>
      <c r="T111" s="21" t="s">
        <v>37</v>
      </c>
    </row>
    <row r="112" spans="1:20" x14ac:dyDescent="0.25">
      <c r="A112" s="22" t="s">
        <v>25</v>
      </c>
      <c r="B112" s="156"/>
      <c r="C112" s="157"/>
      <c r="D112" s="157"/>
      <c r="E112" s="157"/>
      <c r="F112" s="157"/>
      <c r="G112" s="157"/>
      <c r="H112" s="157"/>
      <c r="I112" s="158"/>
      <c r="J112" s="24">
        <f>IF(ISNA(SUM(J103:J111)),"",SUM(J103:J111))</f>
        <v>51</v>
      </c>
      <c r="K112" s="24">
        <f t="shared" ref="K112:P112" si="26">SUM(K103:K111)</f>
        <v>14</v>
      </c>
      <c r="L112" s="24">
        <f t="shared" si="26"/>
        <v>7</v>
      </c>
      <c r="M112" s="24">
        <f t="shared" si="26"/>
        <v>14</v>
      </c>
      <c r="N112" s="24">
        <f t="shared" si="26"/>
        <v>35</v>
      </c>
      <c r="O112" s="24">
        <f t="shared" si="26"/>
        <v>58</v>
      </c>
      <c r="P112" s="24">
        <f t="shared" si="26"/>
        <v>93</v>
      </c>
      <c r="Q112" s="22">
        <f>COUNTIF(Q103:Q111,"E")</f>
        <v>3</v>
      </c>
      <c r="R112" s="22">
        <f>COUNTIF(R103:R111,"C")</f>
        <v>4</v>
      </c>
      <c r="S112" s="22">
        <f>COUNTIF(S103:S111,"VP")</f>
        <v>0</v>
      </c>
      <c r="T112" s="21"/>
    </row>
    <row r="113" spans="1:20" ht="17.25" customHeight="1" x14ac:dyDescent="0.25">
      <c r="A113" s="103" t="s">
        <v>63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04"/>
    </row>
    <row r="114" spans="1:20" x14ac:dyDescent="0.25">
      <c r="A114" s="54" t="s">
        <v>111</v>
      </c>
      <c r="B114" s="160" t="s">
        <v>112</v>
      </c>
      <c r="C114" s="161"/>
      <c r="D114" s="161"/>
      <c r="E114" s="161"/>
      <c r="F114" s="161"/>
      <c r="G114" s="161"/>
      <c r="H114" s="161"/>
      <c r="I114" s="162"/>
      <c r="J114" s="55">
        <v>7</v>
      </c>
      <c r="K114" s="55">
        <v>2</v>
      </c>
      <c r="L114" s="55">
        <v>1</v>
      </c>
      <c r="M114" s="11">
        <v>2</v>
      </c>
      <c r="N114" s="20">
        <f>IF(ISNA(INDEX($A$37:$T$95,MATCH($B114,$B$37:$B$95,0),14)),"",INDEX($A$37:$T$95,MATCH($B114,$B$37:$B$95,0),14))</f>
        <v>5</v>
      </c>
      <c r="O114" s="20">
        <f>IF(ISNA(INDEX($A$37:$T$95,MATCH($B114,$B$37:$B$95,0),15)),"",INDEX($A$37:$T$95,MATCH($B114,$B$37:$B$95,0),15))</f>
        <v>10</v>
      </c>
      <c r="P114" s="20">
        <f>IF(ISNA(INDEX($A$37:$T$95,MATCH($B114,$B$37:$B$95,0),16)),"",INDEX($A$37:$T$95,MATCH($B114,$B$37:$B$95,0),16))</f>
        <v>15</v>
      </c>
      <c r="Q114" s="30" t="str">
        <f>IF(ISNA(INDEX($A$37:$T$95,MATCH($B114,$B$37:$B$95,0),17)),"",INDEX($A$37:$T$95,MATCH($B114,$B$37:$B$95,0),17))</f>
        <v>E</v>
      </c>
      <c r="R114" s="30">
        <f>IF(ISNA(INDEX($A$37:$T$95,MATCH($B114,$B$37:$B$95,0),18)),"",INDEX($A$37:$T$95,MATCH($B114,$B$37:$B$95,0),18))</f>
        <v>0</v>
      </c>
      <c r="S114" s="30">
        <f>IF(ISNA(INDEX($A$37:$T$95,MATCH($B114,$B$37:$B$95,0),19)),"",INDEX($A$37:$T$95,MATCH($B114,$B$37:$B$95,0),19))</f>
        <v>0</v>
      </c>
      <c r="T114" s="21" t="s">
        <v>37</v>
      </c>
    </row>
    <row r="115" spans="1:20" s="62" customFormat="1" x14ac:dyDescent="0.25">
      <c r="A115" s="54" t="s">
        <v>113</v>
      </c>
      <c r="B115" s="160" t="s">
        <v>114</v>
      </c>
      <c r="C115" s="161"/>
      <c r="D115" s="161"/>
      <c r="E115" s="161"/>
      <c r="F115" s="161"/>
      <c r="G115" s="161"/>
      <c r="H115" s="161"/>
      <c r="I115" s="162"/>
      <c r="J115" s="55">
        <v>6</v>
      </c>
      <c r="K115" s="55">
        <v>2</v>
      </c>
      <c r="L115" s="55">
        <v>1</v>
      </c>
      <c r="M115" s="11">
        <v>2</v>
      </c>
      <c r="N115" s="20">
        <f t="shared" ref="N115:N116" si="27">IF(ISNA(INDEX($A$37:$T$95,MATCH($B115,$B$37:$B$95,0),14)),"",INDEX($A$37:$T$95,MATCH($B115,$B$37:$B$95,0),14))</f>
        <v>5</v>
      </c>
      <c r="O115" s="20">
        <f t="shared" ref="O115:O116" si="28">IF(ISNA(INDEX($A$37:$T$95,MATCH($B115,$B$37:$B$95,0),15)),"",INDEX($A$37:$T$95,MATCH($B115,$B$37:$B$95,0),15))</f>
        <v>8</v>
      </c>
      <c r="P115" s="20">
        <f t="shared" ref="P115:P116" si="29">IF(ISNA(INDEX($A$37:$T$95,MATCH($B115,$B$37:$B$95,0),16)),"",INDEX($A$37:$T$95,MATCH($B115,$B$37:$B$95,0),16))</f>
        <v>13</v>
      </c>
      <c r="Q115" s="30" t="str">
        <f t="shared" ref="Q115:Q116" si="30">IF(ISNA(INDEX($A$37:$T$95,MATCH($B115,$B$37:$B$95,0),17)),"",INDEX($A$37:$T$95,MATCH($B115,$B$37:$B$95,0),17))</f>
        <v>E</v>
      </c>
      <c r="R115" s="30">
        <f t="shared" ref="R115:R116" si="31">IF(ISNA(INDEX($A$37:$T$95,MATCH($B115,$B$37:$B$95,0),18)),"",INDEX($A$37:$T$95,MATCH($B115,$B$37:$B$95,0),18))</f>
        <v>0</v>
      </c>
      <c r="S115" s="30">
        <f t="shared" ref="S115:S116" si="32">IF(ISNA(INDEX($A$37:$T$95,MATCH($B115,$B$37:$B$95,0),19)),"",INDEX($A$37:$T$95,MATCH($B115,$B$37:$B$95,0),19))</f>
        <v>0</v>
      </c>
      <c r="T115" s="21" t="s">
        <v>37</v>
      </c>
    </row>
    <row r="116" spans="1:20" s="62" customFormat="1" x14ac:dyDescent="0.25">
      <c r="A116" s="54" t="s">
        <v>115</v>
      </c>
      <c r="B116" s="160" t="s">
        <v>116</v>
      </c>
      <c r="C116" s="161"/>
      <c r="D116" s="161"/>
      <c r="E116" s="161"/>
      <c r="F116" s="161"/>
      <c r="G116" s="161"/>
      <c r="H116" s="161"/>
      <c r="I116" s="162"/>
      <c r="J116" s="55">
        <v>7</v>
      </c>
      <c r="K116" s="55">
        <v>2</v>
      </c>
      <c r="L116" s="55">
        <v>1</v>
      </c>
      <c r="M116" s="11">
        <v>2</v>
      </c>
      <c r="N116" s="20">
        <f t="shared" si="27"/>
        <v>5</v>
      </c>
      <c r="O116" s="20">
        <f t="shared" si="28"/>
        <v>10</v>
      </c>
      <c r="P116" s="20">
        <f t="shared" si="29"/>
        <v>15</v>
      </c>
      <c r="Q116" s="30" t="str">
        <f t="shared" si="30"/>
        <v>E</v>
      </c>
      <c r="R116" s="30">
        <f t="shared" si="31"/>
        <v>0</v>
      </c>
      <c r="S116" s="30">
        <f t="shared" si="32"/>
        <v>0</v>
      </c>
      <c r="T116" s="21" t="s">
        <v>37</v>
      </c>
    </row>
    <row r="117" spans="1:20" x14ac:dyDescent="0.25">
      <c r="A117" s="22" t="s">
        <v>25</v>
      </c>
      <c r="B117" s="124"/>
      <c r="C117" s="124"/>
      <c r="D117" s="124"/>
      <c r="E117" s="124"/>
      <c r="F117" s="124"/>
      <c r="G117" s="124"/>
      <c r="H117" s="124"/>
      <c r="I117" s="124"/>
      <c r="J117" s="24">
        <f>SUM(J114:J116)</f>
        <v>20</v>
      </c>
      <c r="K117" s="24">
        <f t="shared" ref="K117:P117" si="33">SUM(K114:K116)</f>
        <v>6</v>
      </c>
      <c r="L117" s="24">
        <f t="shared" si="33"/>
        <v>3</v>
      </c>
      <c r="M117" s="24">
        <f t="shared" si="33"/>
        <v>6</v>
      </c>
      <c r="N117" s="24">
        <f t="shared" si="33"/>
        <v>15</v>
      </c>
      <c r="O117" s="24">
        <f t="shared" si="33"/>
        <v>28</v>
      </c>
      <c r="P117" s="24">
        <f t="shared" si="33"/>
        <v>43</v>
      </c>
      <c r="Q117" s="22">
        <f>COUNTIF(Q114:Q116,"E")</f>
        <v>3</v>
      </c>
      <c r="R117" s="63">
        <f t="shared" ref="R117:S117" si="34">COUNTIF(R114:R116,"E")</f>
        <v>0</v>
      </c>
      <c r="S117" s="63">
        <f t="shared" si="34"/>
        <v>0</v>
      </c>
      <c r="T117" s="23"/>
    </row>
    <row r="118" spans="1:20" ht="27" customHeight="1" x14ac:dyDescent="0.25">
      <c r="A118" s="125" t="s">
        <v>73</v>
      </c>
      <c r="B118" s="126"/>
      <c r="C118" s="126"/>
      <c r="D118" s="126"/>
      <c r="E118" s="126"/>
      <c r="F118" s="126"/>
      <c r="G118" s="126"/>
      <c r="H118" s="126"/>
      <c r="I118" s="127"/>
      <c r="J118" s="24">
        <f t="shared" ref="J118:S118" si="35">SUM(J112,J117)</f>
        <v>71</v>
      </c>
      <c r="K118" s="24">
        <f t="shared" si="35"/>
        <v>20</v>
      </c>
      <c r="L118" s="24">
        <f t="shared" si="35"/>
        <v>10</v>
      </c>
      <c r="M118" s="24">
        <f t="shared" si="35"/>
        <v>20</v>
      </c>
      <c r="N118" s="24">
        <f t="shared" si="35"/>
        <v>50</v>
      </c>
      <c r="O118" s="24">
        <f t="shared" si="35"/>
        <v>86</v>
      </c>
      <c r="P118" s="24">
        <f t="shared" si="35"/>
        <v>136</v>
      </c>
      <c r="Q118" s="24">
        <f t="shared" si="35"/>
        <v>6</v>
      </c>
      <c r="R118" s="24">
        <f t="shared" si="35"/>
        <v>4</v>
      </c>
      <c r="S118" s="24">
        <f t="shared" si="35"/>
        <v>0</v>
      </c>
      <c r="T118" s="29"/>
    </row>
    <row r="119" spans="1:20" x14ac:dyDescent="0.25">
      <c r="A119" s="134" t="s">
        <v>48</v>
      </c>
      <c r="B119" s="135"/>
      <c r="C119" s="135"/>
      <c r="D119" s="135"/>
      <c r="E119" s="135"/>
      <c r="F119" s="135"/>
      <c r="G119" s="135"/>
      <c r="H119" s="135"/>
      <c r="I119" s="135"/>
      <c r="J119" s="136"/>
      <c r="K119" s="24">
        <f t="shared" ref="K119:P119" si="36">K112*14+K117*12</f>
        <v>268</v>
      </c>
      <c r="L119" s="24">
        <f t="shared" si="36"/>
        <v>134</v>
      </c>
      <c r="M119" s="24">
        <f t="shared" si="36"/>
        <v>268</v>
      </c>
      <c r="N119" s="24">
        <f t="shared" si="36"/>
        <v>670</v>
      </c>
      <c r="O119" s="24">
        <f t="shared" si="36"/>
        <v>1148</v>
      </c>
      <c r="P119" s="24">
        <f t="shared" si="36"/>
        <v>1818</v>
      </c>
      <c r="Q119" s="140"/>
      <c r="R119" s="141"/>
      <c r="S119" s="141"/>
      <c r="T119" s="142"/>
    </row>
    <row r="120" spans="1:20" x14ac:dyDescent="0.25">
      <c r="A120" s="137"/>
      <c r="B120" s="138"/>
      <c r="C120" s="138"/>
      <c r="D120" s="138"/>
      <c r="E120" s="138"/>
      <c r="F120" s="138"/>
      <c r="G120" s="138"/>
      <c r="H120" s="138"/>
      <c r="I120" s="138"/>
      <c r="J120" s="139"/>
      <c r="K120" s="128">
        <f>SUM(K119:M119)</f>
        <v>670</v>
      </c>
      <c r="L120" s="129"/>
      <c r="M120" s="130"/>
      <c r="N120" s="131">
        <f>SUM(N119:O119)</f>
        <v>1818</v>
      </c>
      <c r="O120" s="132"/>
      <c r="P120" s="133"/>
      <c r="Q120" s="143"/>
      <c r="R120" s="144"/>
      <c r="S120" s="144"/>
      <c r="T120" s="145"/>
    </row>
    <row r="122" spans="1:20" x14ac:dyDescent="0.25">
      <c r="B122" s="2"/>
      <c r="C122" s="2"/>
      <c r="D122" s="2"/>
      <c r="E122" s="2"/>
      <c r="F122" s="2"/>
      <c r="G122" s="2"/>
      <c r="M122" s="8"/>
      <c r="N122" s="8"/>
      <c r="O122" s="8"/>
      <c r="P122" s="8"/>
      <c r="Q122" s="8"/>
      <c r="R122" s="8"/>
      <c r="S122" s="8"/>
    </row>
    <row r="123" spans="1:20" x14ac:dyDescent="0.25">
      <c r="B123" s="8"/>
      <c r="C123" s="8"/>
      <c r="D123" s="8"/>
      <c r="E123" s="8"/>
      <c r="F123" s="8"/>
      <c r="G123" s="8"/>
      <c r="H123" s="17"/>
      <c r="I123" s="17"/>
      <c r="J123" s="17"/>
      <c r="M123" s="8"/>
      <c r="N123" s="8"/>
      <c r="O123" s="8"/>
      <c r="P123" s="8"/>
      <c r="Q123" s="8"/>
      <c r="R123" s="8"/>
      <c r="S123" s="8"/>
    </row>
    <row r="125" spans="1:20" ht="28.5" customHeight="1" x14ac:dyDescent="0.25">
      <c r="A125" s="166" t="s">
        <v>100</v>
      </c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</row>
    <row r="126" spans="1:20" ht="27.75" customHeight="1" x14ac:dyDescent="0.25">
      <c r="A126" s="124" t="s">
        <v>27</v>
      </c>
      <c r="B126" s="124" t="s">
        <v>26</v>
      </c>
      <c r="C126" s="124"/>
      <c r="D126" s="124"/>
      <c r="E126" s="124"/>
      <c r="F126" s="124"/>
      <c r="G126" s="124"/>
      <c r="H126" s="124"/>
      <c r="I126" s="124"/>
      <c r="J126" s="102" t="s">
        <v>40</v>
      </c>
      <c r="K126" s="102" t="s">
        <v>24</v>
      </c>
      <c r="L126" s="102"/>
      <c r="M126" s="102"/>
      <c r="N126" s="102" t="s">
        <v>41</v>
      </c>
      <c r="O126" s="102"/>
      <c r="P126" s="102"/>
      <c r="Q126" s="102" t="s">
        <v>23</v>
      </c>
      <c r="R126" s="102"/>
      <c r="S126" s="102"/>
      <c r="T126" s="102" t="s">
        <v>22</v>
      </c>
    </row>
    <row r="127" spans="1:20" ht="16.5" customHeight="1" x14ac:dyDescent="0.25">
      <c r="A127" s="124"/>
      <c r="B127" s="124"/>
      <c r="C127" s="124"/>
      <c r="D127" s="124"/>
      <c r="E127" s="124"/>
      <c r="F127" s="124"/>
      <c r="G127" s="124"/>
      <c r="H127" s="124"/>
      <c r="I127" s="124"/>
      <c r="J127" s="102"/>
      <c r="K127" s="31" t="s">
        <v>28</v>
      </c>
      <c r="L127" s="31" t="s">
        <v>29</v>
      </c>
      <c r="M127" s="31" t="s">
        <v>30</v>
      </c>
      <c r="N127" s="31" t="s">
        <v>34</v>
      </c>
      <c r="O127" s="31" t="s">
        <v>7</v>
      </c>
      <c r="P127" s="31" t="s">
        <v>31</v>
      </c>
      <c r="Q127" s="31" t="s">
        <v>32</v>
      </c>
      <c r="R127" s="31" t="s">
        <v>28</v>
      </c>
      <c r="S127" s="31" t="s">
        <v>33</v>
      </c>
      <c r="T127" s="102"/>
    </row>
    <row r="128" spans="1:20" ht="17.25" customHeight="1" x14ac:dyDescent="0.25">
      <c r="A128" s="103" t="s">
        <v>62</v>
      </c>
      <c r="B128" s="155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04"/>
    </row>
    <row r="129" spans="1:20" x14ac:dyDescent="0.25">
      <c r="A129" s="32" t="str">
        <f>IF(ISNA(INDEX($A$37:$T$95,MATCH($B129,$B$37:$B$95,0),1)),"",INDEX($A$37:$T$95,MATCH($B129,$B$37:$B$95,0),1))</f>
        <v>MMM3088</v>
      </c>
      <c r="B129" s="123" t="s">
        <v>104</v>
      </c>
      <c r="C129" s="123"/>
      <c r="D129" s="123"/>
      <c r="E129" s="123"/>
      <c r="F129" s="123"/>
      <c r="G129" s="123"/>
      <c r="H129" s="123"/>
      <c r="I129" s="123"/>
      <c r="J129" s="20">
        <f>IF(ISNA(INDEX($A$37:$T$95,MATCH($B129,$B$37:$B$95,0),10)),"",INDEX($A$37:$T$95,MATCH($B129,$B$37:$B$95,0),10))</f>
        <v>8</v>
      </c>
      <c r="K129" s="20">
        <f>IF(ISNA(INDEX($A$37:$T$95,MATCH($B129,$B$37:$B$95,0),11)),"",INDEX($A$37:$T$95,MATCH($B129,$B$37:$B$95,0),11))</f>
        <v>2</v>
      </c>
      <c r="L129" s="20">
        <f>IF(ISNA(INDEX($A$37:$T$95,MATCH($B129,$B$37:$B$95,0),12)),"",INDEX($A$37:$T$95,MATCH($B129,$B$37:$B$95,0),12))</f>
        <v>1</v>
      </c>
      <c r="M129" s="20">
        <f>IF(ISNA(INDEX($A$37:$T$95,MATCH($B129,$B$37:$B$95,0),13)),"",INDEX($A$37:$T$95,MATCH($B129,$B$37:$B$95,0),13))</f>
        <v>2</v>
      </c>
      <c r="N129" s="20">
        <f>IF(ISNA(INDEX($A$37:$T$95,MATCH($B129,$B$37:$B$95,0),14)),"",INDEX($A$37:$T$95,MATCH($B129,$B$37:$B$95,0),14))</f>
        <v>5</v>
      </c>
      <c r="O129" s="20">
        <f>IF(ISNA(INDEX($A$37:$T$95,MATCH($B129,$B$37:$B$95,0),15)),"",INDEX($A$37:$T$95,MATCH($B129,$B$37:$B$95,0),15))</f>
        <v>9</v>
      </c>
      <c r="P129" s="20">
        <f>IF(ISNA(INDEX($A$37:$T$95,MATCH($B129,$B$37:$B$95,0),16)),"",INDEX($A$37:$T$95,MATCH($B129,$B$37:$B$95,0),16))</f>
        <v>14</v>
      </c>
      <c r="Q129" s="30">
        <f>IF(ISNA(INDEX($A$37:$T$95,MATCH($B129,$B$37:$B$95,0),17)),"",INDEX($A$37:$T$95,MATCH($B129,$B$37:$B$95,0),17))</f>
        <v>0</v>
      </c>
      <c r="R129" s="30">
        <f>IF(ISNA(INDEX($A$37:$T$95,MATCH($B129,$B$37:$B$95,0),18)),"",INDEX($A$37:$T$95,MATCH($B129,$B$37:$B$95,0),18))</f>
        <v>0</v>
      </c>
      <c r="S129" s="30" t="str">
        <f>IF(ISNA(INDEX($A$37:$T$95,MATCH($B129,$B$37:$B$95,0),19)),"",INDEX($A$37:$T$95,MATCH($B129,$B$37:$B$95,0),19))</f>
        <v>VP</v>
      </c>
      <c r="T129" s="21" t="s">
        <v>38</v>
      </c>
    </row>
    <row r="130" spans="1:20" x14ac:dyDescent="0.25">
      <c r="A130" s="32" t="str">
        <f>IF(ISNA(INDEX($A$37:$T$95,MATCH($B130,$B$37:$B$95,0),1)),"",INDEX($A$37:$T$95,MATCH($B130,$B$37:$B$95,0),1))</f>
        <v>MMM9012</v>
      </c>
      <c r="B130" s="123" t="s">
        <v>122</v>
      </c>
      <c r="C130" s="123"/>
      <c r="D130" s="123"/>
      <c r="E130" s="123"/>
      <c r="F130" s="123"/>
      <c r="G130" s="123"/>
      <c r="H130" s="123"/>
      <c r="I130" s="123"/>
      <c r="J130" s="20">
        <f>IF(ISNA(INDEX($A$37:$T$95,MATCH($B130,$B$37:$B$95,0),10)),"",INDEX($A$37:$T$95,MATCH($B130,$B$37:$B$95,0),10))</f>
        <v>4</v>
      </c>
      <c r="K130" s="20">
        <f>IF(ISNA(INDEX($A$37:$T$95,MATCH($B130,$B$37:$B$95,0),11)),"",INDEX($A$37:$T$95,MATCH($B130,$B$37:$B$95,0),11))</f>
        <v>0</v>
      </c>
      <c r="L130" s="20">
        <f>IF(ISNA(INDEX($A$37:$T$95,MATCH($B130,$B$37:$B$95,0),12)),"",INDEX($A$37:$T$95,MATCH($B130,$B$37:$B$95,0),12))</f>
        <v>0</v>
      </c>
      <c r="M130" s="20">
        <f>IF(ISNA(INDEX($A$37:$T$95,MATCH($B130,$B$37:$B$95,0),13)),"",INDEX($A$37:$T$95,MATCH($B130,$B$37:$B$95,0),13))</f>
        <v>3</v>
      </c>
      <c r="N130" s="20">
        <f>IF(ISNA(INDEX($A$37:$T$95,MATCH($B130,$B$37:$B$95,0),14)),"",INDEX($A$37:$T$95,MATCH($B130,$B$37:$B$95,0),14))</f>
        <v>3</v>
      </c>
      <c r="O130" s="20">
        <f>IF(ISNA(INDEX($A$37:$T$95,MATCH($B130,$B$37:$B$95,0),15)),"",INDEX($A$37:$T$95,MATCH($B130,$B$37:$B$95,0),15))</f>
        <v>4</v>
      </c>
      <c r="P130" s="20">
        <f>IF(ISNA(INDEX($A$37:$T$95,MATCH($B130,$B$37:$B$95,0),16)),"",INDEX($A$37:$T$95,MATCH($B130,$B$37:$B$95,0),16))</f>
        <v>7</v>
      </c>
      <c r="Q130" s="30">
        <f>IF(ISNA(INDEX($A$37:$T$95,MATCH($B130,$B$37:$B$95,0),17)),"",INDEX($A$37:$T$95,MATCH($B130,$B$37:$B$95,0),17))</f>
        <v>0</v>
      </c>
      <c r="R130" s="30">
        <f>IF(ISNA(INDEX($A$37:$T$95,MATCH($B130,$B$37:$B$95,0),18)),"",INDEX($A$37:$T$95,MATCH($B130,$B$37:$B$95,0),18))</f>
        <v>0</v>
      </c>
      <c r="S130" s="30" t="str">
        <f>IF(ISNA(INDEX($A$37:$T$95,MATCH($B130,$B$37:$B$95,0),19)),"",INDEX($A$37:$T$95,MATCH($B130,$B$37:$B$95,0),19))</f>
        <v>VP</v>
      </c>
      <c r="T130" s="21" t="s">
        <v>38</v>
      </c>
    </row>
    <row r="131" spans="1:20" x14ac:dyDescent="0.25">
      <c r="A131" s="32" t="str">
        <f>IF(ISNA(INDEX($A$37:$T$95,MATCH($B131,$B$37:$B$95,0),1)),"",INDEX($A$37:$T$95,MATCH($B131,$B$37:$B$95,0),1))</f>
        <v>MMX4602</v>
      </c>
      <c r="B131" s="123" t="s">
        <v>137</v>
      </c>
      <c r="C131" s="123"/>
      <c r="D131" s="123"/>
      <c r="E131" s="123"/>
      <c r="F131" s="123"/>
      <c r="G131" s="123"/>
      <c r="H131" s="123"/>
      <c r="I131" s="123"/>
      <c r="J131" s="20">
        <f>IF(ISNA(INDEX($A$37:$T$95,MATCH($B131,$B$37:$B$95,0),10)),"",INDEX($A$37:$T$95,MATCH($B131,$B$37:$B$95,0),10))</f>
        <v>6</v>
      </c>
      <c r="K131" s="20">
        <f>IF(ISNA(INDEX($A$37:$T$95,MATCH($B131,$B$37:$B$95,0),11)),"",INDEX($A$37:$T$95,MATCH($B131,$B$37:$B$95,0),11))</f>
        <v>2</v>
      </c>
      <c r="L131" s="20">
        <f>IF(ISNA(INDEX($A$37:$T$95,MATCH($B131,$B$37:$B$95,0),12)),"",INDEX($A$37:$T$95,MATCH($B131,$B$37:$B$95,0),12))</f>
        <v>1</v>
      </c>
      <c r="M131" s="20">
        <f>IF(ISNA(INDEX($A$37:$T$95,MATCH($B131,$B$37:$B$95,0),13)),"",INDEX($A$37:$T$95,MATCH($B131,$B$37:$B$95,0),13))</f>
        <v>2</v>
      </c>
      <c r="N131" s="20">
        <f>IF(ISNA(INDEX($A$37:$T$95,MATCH($B131,$B$37:$B$95,0),14)),"",INDEX($A$37:$T$95,MATCH($B131,$B$37:$B$95,0),14))</f>
        <v>5</v>
      </c>
      <c r="O131" s="20">
        <f>IF(ISNA(INDEX($A$37:$T$95,MATCH($B131,$B$37:$B$95,0),15)),"",INDEX($A$37:$T$95,MATCH($B131,$B$37:$B$95,0),15))</f>
        <v>6</v>
      </c>
      <c r="P131" s="20">
        <f>IF(ISNA(INDEX($A$37:$T$95,MATCH($B131,$B$37:$B$95,0),16)),"",INDEX($A$37:$T$95,MATCH($B131,$B$37:$B$95,0),16))</f>
        <v>11</v>
      </c>
      <c r="Q131" s="30" t="str">
        <f>IF(ISNA(INDEX($A$37:$T$95,MATCH($B131,$B$37:$B$95,0),17)),"",INDEX($A$37:$T$95,MATCH($B131,$B$37:$B$95,0),17))</f>
        <v>E</v>
      </c>
      <c r="R131" s="30">
        <f>IF(ISNA(INDEX($A$37:$T$95,MATCH($B131,$B$37:$B$95,0),18)),"",INDEX($A$37:$T$95,MATCH($B131,$B$37:$B$95,0),18))</f>
        <v>0</v>
      </c>
      <c r="S131" s="30">
        <f>IF(ISNA(INDEX($A$37:$T$95,MATCH($B131,$B$37:$B$95,0),19)),"",INDEX($A$37:$T$95,MATCH($B131,$B$37:$B$95,0),19))</f>
        <v>0</v>
      </c>
      <c r="T131" s="21" t="s">
        <v>38</v>
      </c>
    </row>
    <row r="132" spans="1:20" x14ac:dyDescent="0.25">
      <c r="A132" s="22" t="s">
        <v>25</v>
      </c>
      <c r="B132" s="156"/>
      <c r="C132" s="157"/>
      <c r="D132" s="157"/>
      <c r="E132" s="157"/>
      <c r="F132" s="157"/>
      <c r="G132" s="157"/>
      <c r="H132" s="157"/>
      <c r="I132" s="158"/>
      <c r="J132" s="24">
        <f t="shared" ref="J132:P132" si="37">SUM(J129:J131)</f>
        <v>18</v>
      </c>
      <c r="K132" s="24">
        <f t="shared" si="37"/>
        <v>4</v>
      </c>
      <c r="L132" s="24">
        <f t="shared" si="37"/>
        <v>2</v>
      </c>
      <c r="M132" s="24">
        <f t="shared" si="37"/>
        <v>7</v>
      </c>
      <c r="N132" s="24">
        <f t="shared" si="37"/>
        <v>13</v>
      </c>
      <c r="O132" s="24">
        <f t="shared" si="37"/>
        <v>19</v>
      </c>
      <c r="P132" s="24">
        <f t="shared" si="37"/>
        <v>32</v>
      </c>
      <c r="Q132" s="22">
        <f>COUNTIF(Q129:Q131,"E")</f>
        <v>1</v>
      </c>
      <c r="R132" s="22">
        <f>COUNTIF(R129:R131,"C")</f>
        <v>0</v>
      </c>
      <c r="S132" s="22">
        <f>COUNTIF(S129:S131,"VP")</f>
        <v>2</v>
      </c>
      <c r="T132" s="19"/>
    </row>
    <row r="133" spans="1:20" ht="18.75" customHeight="1" x14ac:dyDescent="0.25">
      <c r="A133" s="103" t="s">
        <v>63</v>
      </c>
      <c r="B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04"/>
    </row>
    <row r="134" spans="1:20" x14ac:dyDescent="0.25">
      <c r="A134" s="32" t="str">
        <f>IF(ISNA(INDEX($A$37:$T$95,MATCH($B134,$B$37:$B$95,0),1)),"",INDEX($A$37:$T$95,MATCH($B134,$B$37:$B$95,0),1))</f>
        <v>MMM3069</v>
      </c>
      <c r="B134" s="123" t="s">
        <v>135</v>
      </c>
      <c r="C134" s="123"/>
      <c r="D134" s="123"/>
      <c r="E134" s="123"/>
      <c r="F134" s="123"/>
      <c r="G134" s="123"/>
      <c r="H134" s="123"/>
      <c r="I134" s="123"/>
      <c r="J134" s="20">
        <f>IF(ISNA(INDEX($A$37:$T$95,MATCH($B134,$B$37:$B$95,0),10)),"",INDEX($A$37:$T$95,MATCH($B134,$B$37:$B$95,0),10))</f>
        <v>6</v>
      </c>
      <c r="K134" s="20">
        <f>IF(ISNA(INDEX($A$37:$T$95,MATCH($B134,$B$37:$B$95,0),11)),"",INDEX($A$37:$T$95,MATCH($B134,$B$37:$B$95,0),11))</f>
        <v>2</v>
      </c>
      <c r="L134" s="20">
        <f>IF(ISNA(INDEX($A$37:$T$95,MATCH($B134,$B$37:$B$95,0),12)),"",INDEX($A$37:$T$95,MATCH($B134,$B$37:$B$95,0),12))</f>
        <v>1</v>
      </c>
      <c r="M134" s="20">
        <f>IF(ISNA(INDEX($A$37:$T$95,MATCH($B134,$B$37:$B$95,0),13)),"",INDEX($A$37:$T$95,MATCH($B134,$B$37:$B$95,0),13))</f>
        <v>2</v>
      </c>
      <c r="N134" s="20">
        <f>IF(ISNA(INDEX($A$37:$T$95,MATCH($B134,$B$37:$B$95,0),14)),"",INDEX($A$37:$T$95,MATCH($B134,$B$37:$B$95,0),14))</f>
        <v>5</v>
      </c>
      <c r="O134" s="20">
        <f>IF(ISNA(INDEX($A$37:$T$95,MATCH($B134,$B$37:$B$95,0),15)),"",INDEX($A$37:$T$95,MATCH($B134,$B$37:$B$95,0),15))</f>
        <v>6</v>
      </c>
      <c r="P134" s="20">
        <f>IF(ISNA(INDEX($A$37:$T$95,MATCH($B134,$B$37:$B$95,0),16)),"",INDEX($A$37:$T$95,MATCH($B134,$B$37:$B$95,0),16))</f>
        <v>11</v>
      </c>
      <c r="Q134" s="30" t="str">
        <f>IF(ISNA(INDEX($A$37:$T$95,MATCH($B134,$B$37:$B$95,0),17)),"",INDEX($A$37:$T$95,MATCH($B134,$B$37:$B$95,0),17))</f>
        <v>E</v>
      </c>
      <c r="R134" s="30">
        <f>IF(ISNA(INDEX($A$37:$T$95,MATCH($B134,$B$37:$B$95,0),18)),"",INDEX($A$37:$T$95,MATCH($B134,$B$37:$B$95,0),18))</f>
        <v>0</v>
      </c>
      <c r="S134" s="30">
        <f>IF(ISNA(INDEX($A$37:$T$95,MATCH($B134,$B$37:$B$95,0),19)),"",INDEX($A$37:$T$95,MATCH($B134,$B$37:$B$95,0),19))</f>
        <v>0</v>
      </c>
      <c r="T134" s="21" t="s">
        <v>38</v>
      </c>
    </row>
    <row r="135" spans="1:20" x14ac:dyDescent="0.25">
      <c r="A135" s="32" t="str">
        <f>IF(ISNA(INDEX($A$37:$T$95,MATCH($B135,$B$37:$B$95,0),1)),"",INDEX($A$37:$T$95,MATCH($B135,$B$37:$B$95,0),1))</f>
        <v>MMX4601</v>
      </c>
      <c r="B135" s="123" t="s">
        <v>120</v>
      </c>
      <c r="C135" s="123"/>
      <c r="D135" s="123"/>
      <c r="E135" s="123"/>
      <c r="F135" s="123"/>
      <c r="G135" s="123"/>
      <c r="H135" s="123"/>
      <c r="I135" s="123"/>
      <c r="J135" s="20">
        <f>IF(ISNA(INDEX($A$37:$T$95,MATCH($B135,$B$37:$B$95,0),10)),"",INDEX($A$37:$T$95,MATCH($B135,$B$37:$B$95,0),10))</f>
        <v>6</v>
      </c>
      <c r="K135" s="20">
        <f>IF(ISNA(INDEX($A$37:$T$95,MATCH($B135,$B$37:$B$95,0),11)),"",INDEX($A$37:$T$95,MATCH($B135,$B$37:$B$95,0),11))</f>
        <v>2</v>
      </c>
      <c r="L135" s="20">
        <f>IF(ISNA(INDEX($A$37:$T$95,MATCH($B135,$B$37:$B$95,0),12)),"",INDEX($A$37:$T$95,MATCH($B135,$B$37:$B$95,0),12))</f>
        <v>1</v>
      </c>
      <c r="M135" s="20">
        <f>IF(ISNA(INDEX($A$37:$T$95,MATCH($B135,$B$37:$B$95,0),13)),"",INDEX($A$37:$T$95,MATCH($B135,$B$37:$B$95,0),13))</f>
        <v>2</v>
      </c>
      <c r="N135" s="20">
        <f>IF(ISNA(INDEX($A$37:$T$95,MATCH($B135,$B$37:$B$95,0),14)),"",INDEX($A$37:$T$95,MATCH($B135,$B$37:$B$95,0),14))</f>
        <v>5</v>
      </c>
      <c r="O135" s="20">
        <f>IF(ISNA(INDEX($A$37:$T$95,MATCH($B135,$B$37:$B$95,0),15)),"",INDEX($A$37:$T$95,MATCH($B135,$B$37:$B$95,0),15))</f>
        <v>8</v>
      </c>
      <c r="P135" s="20">
        <f>IF(ISNA(INDEX($A$37:$T$95,MATCH($B135,$B$37:$B$95,0),16)),"",INDEX($A$37:$T$95,MATCH($B135,$B$37:$B$95,0),16))</f>
        <v>13</v>
      </c>
      <c r="Q135" s="30">
        <f>IF(ISNA(INDEX($A$37:$T$95,MATCH($B135,$B$37:$B$95,0),17)),"",INDEX($A$37:$T$95,MATCH($B135,$B$37:$B$95,0),17))</f>
        <v>0</v>
      </c>
      <c r="R135" s="30" t="str">
        <f>IF(ISNA(INDEX($A$37:$T$95,MATCH($B135,$B$37:$B$95,0),18)),"",INDEX($A$37:$T$95,MATCH($B135,$B$37:$B$95,0),18))</f>
        <v>C</v>
      </c>
      <c r="S135" s="30">
        <f>IF(ISNA(INDEX($A$37:$T$95,MATCH($B135,$B$37:$B$95,0),19)),"",INDEX($A$37:$T$95,MATCH($B135,$B$37:$B$95,0),19))</f>
        <v>0</v>
      </c>
      <c r="T135" s="21" t="s">
        <v>38</v>
      </c>
    </row>
    <row r="136" spans="1:20" x14ac:dyDescent="0.25">
      <c r="A136" s="32" t="str">
        <f>IF(ISNA(INDEX($A$37:$T$95,MATCH($B136,$B$37:$B$95,0),1)),"",INDEX($A$37:$T$95,MATCH($B136,$B$37:$B$95,0),1))</f>
        <v>MMM3402</v>
      </c>
      <c r="B136" s="123" t="s">
        <v>118</v>
      </c>
      <c r="C136" s="123"/>
      <c r="D136" s="123"/>
      <c r="E136" s="123"/>
      <c r="F136" s="123"/>
      <c r="G136" s="123"/>
      <c r="H136" s="123"/>
      <c r="I136" s="123"/>
      <c r="J136" s="20">
        <f>IF(ISNA(INDEX($A$37:$T$95,MATCH($B136,$B$37:$B$95,0),10)),"",INDEX($A$37:$T$95,MATCH($B136,$B$37:$B$95,0),10))</f>
        <v>4</v>
      </c>
      <c r="K136" s="20">
        <f>IF(ISNA(INDEX($A$37:$T$95,MATCH($B136,$B$37:$B$95,0),11)),"",INDEX($A$37:$T$95,MATCH($B136,$B$37:$B$95,0),11))</f>
        <v>0</v>
      </c>
      <c r="L136" s="20">
        <f>IF(ISNA(INDEX($A$37:$T$95,MATCH($B136,$B$37:$B$95,0),12)),"",INDEX($A$37:$T$95,MATCH($B136,$B$37:$B$95,0),12))</f>
        <v>0</v>
      </c>
      <c r="M136" s="20">
        <f>IF(ISNA(INDEX($A$37:$T$95,MATCH($B136,$B$37:$B$95,0),13)),"",INDEX($A$37:$T$95,MATCH($B136,$B$37:$B$95,0),13))</f>
        <v>3</v>
      </c>
      <c r="N136" s="20">
        <f>IF(ISNA(INDEX($A$37:$T$95,MATCH($B136,$B$37:$B$95,0),14)),"",INDEX($A$37:$T$95,MATCH($B136,$B$37:$B$95,0),14))</f>
        <v>3</v>
      </c>
      <c r="O136" s="20">
        <f>IF(ISNA(INDEX($A$37:$T$95,MATCH($B136,$B$37:$B$95,0),15)),"",INDEX($A$37:$T$95,MATCH($B136,$B$37:$B$95,0),15))</f>
        <v>5</v>
      </c>
      <c r="P136" s="20">
        <f>IF(ISNA(INDEX($A$37:$T$95,MATCH($B136,$B$37:$B$95,0),16)),"",INDEX($A$37:$T$95,MATCH($B136,$B$37:$B$95,0),16))</f>
        <v>8</v>
      </c>
      <c r="Q136" s="30">
        <f>IF(ISNA(INDEX($A$37:$T$95,MATCH($B136,$B$37:$B$95,0),17)),"",INDEX($A$37:$T$95,MATCH($B136,$B$37:$B$95,0),17))</f>
        <v>0</v>
      </c>
      <c r="R136" s="30">
        <f>IF(ISNA(INDEX($A$37:$T$95,MATCH($B136,$B$37:$B$95,0),18)),"",INDEX($A$37:$T$95,MATCH($B136,$B$37:$B$95,0),18))</f>
        <v>0</v>
      </c>
      <c r="S136" s="30" t="str">
        <f>IF(ISNA(INDEX($A$37:$T$95,MATCH($B136,$B$37:$B$95,0),19)),"",INDEX($A$37:$T$95,MATCH($B136,$B$37:$B$95,0),19))</f>
        <v>VP</v>
      </c>
      <c r="T136" s="21" t="s">
        <v>38</v>
      </c>
    </row>
    <row r="137" spans="1:20" hidden="1" x14ac:dyDescent="0.25">
      <c r="A137" s="32"/>
      <c r="B137" s="123"/>
      <c r="C137" s="123"/>
      <c r="D137" s="123"/>
      <c r="E137" s="123"/>
      <c r="F137" s="123"/>
      <c r="G137" s="123"/>
      <c r="H137" s="123"/>
      <c r="I137" s="123"/>
      <c r="J137" s="20"/>
      <c r="K137" s="20"/>
      <c r="L137" s="20"/>
      <c r="M137" s="20"/>
      <c r="N137" s="20"/>
      <c r="O137" s="20"/>
      <c r="P137" s="20"/>
      <c r="Q137" s="30"/>
      <c r="R137" s="30"/>
      <c r="S137" s="30"/>
      <c r="T137" s="21"/>
    </row>
    <row r="138" spans="1:20" x14ac:dyDescent="0.25">
      <c r="A138" s="22" t="s">
        <v>25</v>
      </c>
      <c r="B138" s="124"/>
      <c r="C138" s="124"/>
      <c r="D138" s="124"/>
      <c r="E138" s="124"/>
      <c r="F138" s="124"/>
      <c r="G138" s="124"/>
      <c r="H138" s="124"/>
      <c r="I138" s="124"/>
      <c r="J138" s="24">
        <f t="shared" ref="J138:P138" si="38">SUM(J134:J137)</f>
        <v>16</v>
      </c>
      <c r="K138" s="24">
        <f t="shared" si="38"/>
        <v>4</v>
      </c>
      <c r="L138" s="24">
        <f t="shared" si="38"/>
        <v>2</v>
      </c>
      <c r="M138" s="24">
        <f t="shared" si="38"/>
        <v>7</v>
      </c>
      <c r="N138" s="24">
        <f t="shared" si="38"/>
        <v>13</v>
      </c>
      <c r="O138" s="24">
        <f t="shared" si="38"/>
        <v>19</v>
      </c>
      <c r="P138" s="24">
        <f t="shared" si="38"/>
        <v>32</v>
      </c>
      <c r="Q138" s="22">
        <f>COUNTIF(Q134:Q137,"E")</f>
        <v>1</v>
      </c>
      <c r="R138" s="22">
        <f>COUNTIF(R134:R137,"C")</f>
        <v>1</v>
      </c>
      <c r="S138" s="22">
        <f>COUNTIF(S134:S137,"VP")</f>
        <v>1</v>
      </c>
      <c r="T138" s="23"/>
    </row>
    <row r="139" spans="1:20" ht="30.75" customHeight="1" x14ac:dyDescent="0.25">
      <c r="A139" s="125" t="s">
        <v>73</v>
      </c>
      <c r="B139" s="126"/>
      <c r="C139" s="126"/>
      <c r="D139" s="126"/>
      <c r="E139" s="126"/>
      <c r="F139" s="126"/>
      <c r="G139" s="126"/>
      <c r="H139" s="126"/>
      <c r="I139" s="127"/>
      <c r="J139" s="24">
        <f t="shared" ref="J139:S139" si="39">SUM(J132,J138)</f>
        <v>34</v>
      </c>
      <c r="K139" s="24">
        <f t="shared" si="39"/>
        <v>8</v>
      </c>
      <c r="L139" s="24">
        <f t="shared" si="39"/>
        <v>4</v>
      </c>
      <c r="M139" s="24">
        <f t="shared" si="39"/>
        <v>14</v>
      </c>
      <c r="N139" s="24">
        <f t="shared" si="39"/>
        <v>26</v>
      </c>
      <c r="O139" s="24">
        <f t="shared" si="39"/>
        <v>38</v>
      </c>
      <c r="P139" s="24">
        <f t="shared" si="39"/>
        <v>64</v>
      </c>
      <c r="Q139" s="24">
        <f t="shared" si="39"/>
        <v>2</v>
      </c>
      <c r="R139" s="24">
        <f t="shared" si="39"/>
        <v>1</v>
      </c>
      <c r="S139" s="24">
        <f t="shared" si="39"/>
        <v>3</v>
      </c>
      <c r="T139" s="29"/>
    </row>
    <row r="140" spans="1:20" ht="15.75" customHeight="1" x14ac:dyDescent="0.25">
      <c r="A140" s="134" t="s">
        <v>48</v>
      </c>
      <c r="B140" s="135"/>
      <c r="C140" s="135"/>
      <c r="D140" s="135"/>
      <c r="E140" s="135"/>
      <c r="F140" s="135"/>
      <c r="G140" s="135"/>
      <c r="H140" s="135"/>
      <c r="I140" s="135"/>
      <c r="J140" s="136"/>
      <c r="K140" s="24">
        <f t="shared" ref="K140:P140" si="40">K132*14+K138*12</f>
        <v>104</v>
      </c>
      <c r="L140" s="24">
        <f t="shared" si="40"/>
        <v>52</v>
      </c>
      <c r="M140" s="24">
        <f t="shared" si="40"/>
        <v>182</v>
      </c>
      <c r="N140" s="24">
        <f t="shared" si="40"/>
        <v>338</v>
      </c>
      <c r="O140" s="24">
        <f t="shared" si="40"/>
        <v>494</v>
      </c>
      <c r="P140" s="24">
        <f t="shared" si="40"/>
        <v>832</v>
      </c>
      <c r="Q140" s="140"/>
      <c r="R140" s="141"/>
      <c r="S140" s="141"/>
      <c r="T140" s="142"/>
    </row>
    <row r="141" spans="1:20" ht="17.25" customHeight="1" x14ac:dyDescent="0.25">
      <c r="A141" s="137"/>
      <c r="B141" s="138"/>
      <c r="C141" s="138"/>
      <c r="D141" s="138"/>
      <c r="E141" s="138"/>
      <c r="F141" s="138"/>
      <c r="G141" s="138"/>
      <c r="H141" s="138"/>
      <c r="I141" s="138"/>
      <c r="J141" s="139"/>
      <c r="K141" s="128">
        <f>SUM(K140:M140)</f>
        <v>338</v>
      </c>
      <c r="L141" s="129"/>
      <c r="M141" s="130"/>
      <c r="N141" s="131">
        <f>SUM(N140:O140)</f>
        <v>832</v>
      </c>
      <c r="O141" s="132"/>
      <c r="P141" s="133"/>
      <c r="Q141" s="143"/>
      <c r="R141" s="144"/>
      <c r="S141" s="144"/>
      <c r="T141" s="145"/>
    </row>
    <row r="142" spans="1:20" ht="8.25" customHeight="1" x14ac:dyDescent="0.25"/>
    <row r="143" spans="1:20" x14ac:dyDescent="0.25">
      <c r="B143" s="2"/>
      <c r="C143" s="2"/>
      <c r="D143" s="2"/>
      <c r="E143" s="2"/>
      <c r="F143" s="2"/>
      <c r="G143" s="2"/>
      <c r="M143" s="8"/>
      <c r="N143" s="8"/>
      <c r="O143" s="8"/>
      <c r="P143" s="8"/>
      <c r="Q143" s="8"/>
      <c r="R143" s="8"/>
      <c r="S143" s="8"/>
    </row>
    <row r="144" spans="1:20" x14ac:dyDescent="0.25">
      <c r="B144" s="8"/>
      <c r="C144" s="8"/>
      <c r="D144" s="8"/>
      <c r="E144" s="8"/>
      <c r="F144" s="8"/>
      <c r="G144" s="8"/>
      <c r="H144" s="17"/>
      <c r="I144" s="17"/>
      <c r="J144" s="17"/>
      <c r="M144" s="8"/>
      <c r="N144" s="8"/>
      <c r="O144" s="8"/>
      <c r="P144" s="8"/>
      <c r="Q144" s="8"/>
      <c r="R144" s="8"/>
      <c r="S144" s="8"/>
    </row>
    <row r="145" spans="1:20" ht="12.75" customHeight="1" x14ac:dyDescent="0.25"/>
    <row r="146" spans="1:20" ht="23.25" customHeight="1" x14ac:dyDescent="0.25">
      <c r="A146" s="124" t="s">
        <v>67</v>
      </c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</row>
    <row r="147" spans="1:20" ht="26.25" customHeight="1" x14ac:dyDescent="0.25">
      <c r="A147" s="124" t="s">
        <v>27</v>
      </c>
      <c r="B147" s="124" t="s">
        <v>26</v>
      </c>
      <c r="C147" s="124"/>
      <c r="D147" s="124"/>
      <c r="E147" s="124"/>
      <c r="F147" s="124"/>
      <c r="G147" s="124"/>
      <c r="H147" s="124"/>
      <c r="I147" s="124"/>
      <c r="J147" s="102" t="s">
        <v>40</v>
      </c>
      <c r="K147" s="102" t="s">
        <v>24</v>
      </c>
      <c r="L147" s="102"/>
      <c r="M147" s="102"/>
      <c r="N147" s="102" t="s">
        <v>41</v>
      </c>
      <c r="O147" s="102"/>
      <c r="P147" s="102"/>
      <c r="Q147" s="102" t="s">
        <v>23</v>
      </c>
      <c r="R147" s="102"/>
      <c r="S147" s="102"/>
      <c r="T147" s="102" t="s">
        <v>22</v>
      </c>
    </row>
    <row r="148" spans="1:20" x14ac:dyDescent="0.25">
      <c r="A148" s="124"/>
      <c r="B148" s="124"/>
      <c r="C148" s="124"/>
      <c r="D148" s="124"/>
      <c r="E148" s="124"/>
      <c r="F148" s="124"/>
      <c r="G148" s="124"/>
      <c r="H148" s="124"/>
      <c r="I148" s="124"/>
      <c r="J148" s="102"/>
      <c r="K148" s="31" t="s">
        <v>28</v>
      </c>
      <c r="L148" s="31" t="s">
        <v>29</v>
      </c>
      <c r="M148" s="31" t="s">
        <v>30</v>
      </c>
      <c r="N148" s="31" t="s">
        <v>34</v>
      </c>
      <c r="O148" s="31" t="s">
        <v>7</v>
      </c>
      <c r="P148" s="31" t="s">
        <v>31</v>
      </c>
      <c r="Q148" s="31" t="s">
        <v>32</v>
      </c>
      <c r="R148" s="31" t="s">
        <v>28</v>
      </c>
      <c r="S148" s="31" t="s">
        <v>33</v>
      </c>
      <c r="T148" s="102"/>
    </row>
    <row r="149" spans="1:20" ht="18.75" customHeight="1" x14ac:dyDescent="0.25">
      <c r="A149" s="103" t="s">
        <v>62</v>
      </c>
      <c r="B149" s="155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04"/>
    </row>
    <row r="150" spans="1:20" x14ac:dyDescent="0.25">
      <c r="A150" s="32" t="str">
        <f t="shared" ref="A150:A151" si="41">IF(ISNA(INDEX($A$37:$T$95,MATCH($B150,$B$37:$B$95,0),1)),"",INDEX($A$37:$T$95,MATCH($B150,$B$37:$B$95,0),1))</f>
        <v>MMM3034</v>
      </c>
      <c r="B150" s="123" t="s">
        <v>106</v>
      </c>
      <c r="C150" s="123"/>
      <c r="D150" s="123"/>
      <c r="E150" s="123"/>
      <c r="F150" s="123"/>
      <c r="G150" s="123"/>
      <c r="H150" s="123"/>
      <c r="I150" s="123"/>
      <c r="J150" s="20">
        <f t="shared" ref="J150:J151" si="42">IF(ISNA(INDEX($A$37:$T$95,MATCH($B150,$B$37:$B$95,0),10)),"",INDEX($A$37:$T$95,MATCH($B150,$B$37:$B$95,0),10))</f>
        <v>8</v>
      </c>
      <c r="K150" s="20">
        <f t="shared" ref="K150:K151" si="43">IF(ISNA(INDEX($A$37:$T$95,MATCH($B150,$B$37:$B$95,0),11)),"",INDEX($A$37:$T$95,MATCH($B150,$B$37:$B$95,0),11))</f>
        <v>2</v>
      </c>
      <c r="L150" s="20">
        <f t="shared" ref="L150:L151" si="44">IF(ISNA(INDEX($A$37:$T$95,MATCH($B150,$B$37:$B$95,0),12)),"",INDEX($A$37:$T$95,MATCH($B150,$B$37:$B$95,0),12))</f>
        <v>1</v>
      </c>
      <c r="M150" s="20">
        <f t="shared" ref="M150:M151" si="45">IF(ISNA(INDEX($A$37:$T$95,MATCH($B150,$B$37:$B$95,0),13)),"",INDEX($A$37:$T$95,MATCH($B150,$B$37:$B$95,0),13))</f>
        <v>2</v>
      </c>
      <c r="N150" s="20">
        <f t="shared" ref="N150:N151" si="46">IF(ISNA(INDEX($A$37:$T$95,MATCH($B150,$B$37:$B$95,0),14)),"",INDEX($A$37:$T$95,MATCH($B150,$B$37:$B$95,0),14))</f>
        <v>5</v>
      </c>
      <c r="O150" s="20">
        <f t="shared" ref="O150:O151" si="47">IF(ISNA(INDEX($A$37:$T$95,MATCH($B150,$B$37:$B$95,0),15)),"",INDEX($A$37:$T$95,MATCH($B150,$B$37:$B$95,0),15))</f>
        <v>9</v>
      </c>
      <c r="P150" s="20">
        <f t="shared" ref="P150:P151" si="48">IF(ISNA(INDEX($A$37:$T$95,MATCH($B150,$B$37:$B$95,0),16)),"",INDEX($A$37:$T$95,MATCH($B150,$B$37:$B$95,0),16))</f>
        <v>14</v>
      </c>
      <c r="Q150" s="30" t="str">
        <f t="shared" ref="Q150:Q151" si="49">IF(ISNA(INDEX($A$37:$T$95,MATCH($B150,$B$37:$B$95,0),17)),"",INDEX($A$37:$T$95,MATCH($B150,$B$37:$B$95,0),17))</f>
        <v>E</v>
      </c>
      <c r="R150" s="30">
        <f t="shared" ref="R150:R151" si="50">IF(ISNA(INDEX($A$37:$T$95,MATCH($B150,$B$37:$B$95,0),18)),"",INDEX($A$37:$T$95,MATCH($B150,$B$37:$B$95,0),18))</f>
        <v>0</v>
      </c>
      <c r="S150" s="30">
        <f t="shared" ref="S150:S151" si="51">IF(ISNA(INDEX($A$37:$T$95,MATCH($B150,$B$37:$B$95,0),19)),"",INDEX($A$37:$T$95,MATCH($B150,$B$37:$B$95,0),19))</f>
        <v>0</v>
      </c>
      <c r="T150" s="19" t="s">
        <v>39</v>
      </c>
    </row>
    <row r="151" spans="1:20" s="62" customFormat="1" x14ac:dyDescent="0.25">
      <c r="A151" s="32" t="str">
        <f t="shared" si="41"/>
        <v>MMM3058</v>
      </c>
      <c r="B151" s="123" t="s">
        <v>133</v>
      </c>
      <c r="C151" s="123"/>
      <c r="D151" s="123"/>
      <c r="E151" s="123"/>
      <c r="F151" s="123"/>
      <c r="G151" s="123"/>
      <c r="H151" s="123"/>
      <c r="I151" s="123"/>
      <c r="J151" s="20">
        <f t="shared" si="42"/>
        <v>7</v>
      </c>
      <c r="K151" s="20">
        <f t="shared" si="43"/>
        <v>2</v>
      </c>
      <c r="L151" s="20">
        <f t="shared" si="44"/>
        <v>1</v>
      </c>
      <c r="M151" s="20">
        <f t="shared" si="45"/>
        <v>2</v>
      </c>
      <c r="N151" s="20">
        <f t="shared" si="46"/>
        <v>5</v>
      </c>
      <c r="O151" s="20">
        <f t="shared" si="47"/>
        <v>8</v>
      </c>
      <c r="P151" s="20">
        <f t="shared" si="48"/>
        <v>13</v>
      </c>
      <c r="Q151" s="30" t="str">
        <f t="shared" si="49"/>
        <v>E</v>
      </c>
      <c r="R151" s="30">
        <f t="shared" si="50"/>
        <v>0</v>
      </c>
      <c r="S151" s="30">
        <f t="shared" si="51"/>
        <v>0</v>
      </c>
      <c r="T151" s="64" t="s">
        <v>39</v>
      </c>
    </row>
    <row r="152" spans="1:20" x14ac:dyDescent="0.25">
      <c r="A152" s="22" t="s">
        <v>25</v>
      </c>
      <c r="B152" s="156"/>
      <c r="C152" s="157"/>
      <c r="D152" s="157"/>
      <c r="E152" s="157"/>
      <c r="F152" s="157"/>
      <c r="G152" s="157"/>
      <c r="H152" s="157"/>
      <c r="I152" s="158"/>
      <c r="J152" s="24">
        <f>SUM(J150:J151)</f>
        <v>15</v>
      </c>
      <c r="K152" s="24">
        <f t="shared" ref="K152:P152" si="52">SUM(K150:K151)</f>
        <v>4</v>
      </c>
      <c r="L152" s="24">
        <f t="shared" si="52"/>
        <v>2</v>
      </c>
      <c r="M152" s="24">
        <f t="shared" si="52"/>
        <v>4</v>
      </c>
      <c r="N152" s="24">
        <f t="shared" si="52"/>
        <v>10</v>
      </c>
      <c r="O152" s="24">
        <f t="shared" si="52"/>
        <v>17</v>
      </c>
      <c r="P152" s="24">
        <f t="shared" si="52"/>
        <v>27</v>
      </c>
      <c r="Q152" s="22">
        <f>COUNTIF(Q150:Q151,"E")</f>
        <v>2</v>
      </c>
      <c r="R152" s="22">
        <f>COUNTIF(R150:R151,"C")</f>
        <v>0</v>
      </c>
      <c r="S152" s="22">
        <f>COUNTIF(S150:S151,"VP")</f>
        <v>0</v>
      </c>
      <c r="T152" s="19"/>
    </row>
    <row r="153" spans="1:20" ht="18" hidden="1" customHeight="1" x14ac:dyDescent="0.25">
      <c r="A153" s="103" t="s">
        <v>64</v>
      </c>
      <c r="B153" s="155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04"/>
    </row>
    <row r="154" spans="1:20" hidden="1" x14ac:dyDescent="0.25">
      <c r="A154" s="32" t="str">
        <f>IF(ISNA(INDEX($A$37:$T$95,MATCH($B154,$B$37:$B$95,0),1)),"",INDEX($A$37:$T$95,MATCH($B154,$B$37:$B$95,0),1))</f>
        <v/>
      </c>
      <c r="B154" s="123"/>
      <c r="C154" s="123"/>
      <c r="D154" s="123"/>
      <c r="E154" s="123"/>
      <c r="F154" s="123"/>
      <c r="G154" s="123"/>
      <c r="H154" s="123"/>
      <c r="I154" s="123"/>
      <c r="J154" s="20" t="str">
        <f>IF(ISNA(INDEX($A$37:$T$95,MATCH($B154,$B$37:$B$95,0),10)),"",INDEX($A$37:$T$95,MATCH($B154,$B$37:$B$95,0),10))</f>
        <v/>
      </c>
      <c r="K154" s="20" t="str">
        <f>IF(ISNA(INDEX($A$37:$T$95,MATCH($B154,$B$37:$B$95,0),11)),"",INDEX($A$37:$T$95,MATCH($B154,$B$37:$B$95,0),11))</f>
        <v/>
      </c>
      <c r="L154" s="20" t="str">
        <f>IF(ISNA(INDEX($A$37:$T$95,MATCH($B154,$B$37:$B$95,0),12)),"",INDEX($A$37:$T$95,MATCH($B154,$B$37:$B$95,0),12))</f>
        <v/>
      </c>
      <c r="M154" s="20" t="str">
        <f>IF(ISNA(INDEX($A$37:$T$95,MATCH($B154,$B$37:$B$95,0),13)),"",INDEX($A$37:$T$95,MATCH($B154,$B$37:$B$95,0),13))</f>
        <v/>
      </c>
      <c r="N154" s="20" t="str">
        <f>IF(ISNA(INDEX($A$37:$T$95,MATCH($B154,$B$37:$B$95,0),14)),"",INDEX($A$37:$T$95,MATCH($B154,$B$37:$B$95,0),14))</f>
        <v/>
      </c>
      <c r="O154" s="20" t="str">
        <f>IF(ISNA(INDEX($A$37:$T$95,MATCH($B154,$B$37:$B$95,0),15)),"",INDEX($A$37:$T$95,MATCH($B154,$B$37:$B$95,0),15))</f>
        <v/>
      </c>
      <c r="P154" s="20" t="str">
        <f>IF(ISNA(INDEX($A$37:$T$95,MATCH($B154,$B$37:$B$95,0),16)),"",INDEX($A$37:$T$95,MATCH($B154,$B$37:$B$95,0),16))</f>
        <v/>
      </c>
      <c r="Q154" s="30" t="str">
        <f>IF(ISNA(INDEX($A$37:$T$95,MATCH($B154,$B$37:$B$95,0),17)),"",INDEX($A$37:$T$95,MATCH($B154,$B$37:$B$95,0),17))</f>
        <v/>
      </c>
      <c r="R154" s="30" t="str">
        <f>IF(ISNA(INDEX($A$37:$T$95,MATCH($B154,$B$37:$B$95,0),18)),"",INDEX($A$37:$T$95,MATCH($B154,$B$37:$B$95,0),18))</f>
        <v/>
      </c>
      <c r="S154" s="30" t="str">
        <f>IF(ISNA(INDEX($A$37:$T$95,MATCH($B154,$B$37:$B$95,0),19)),"",INDEX($A$37:$T$95,MATCH($B154,$B$37:$B$95,0),19))</f>
        <v/>
      </c>
      <c r="T154" s="19" t="s">
        <v>39</v>
      </c>
    </row>
    <row r="155" spans="1:20" hidden="1" x14ac:dyDescent="0.25">
      <c r="A155" s="22" t="s">
        <v>25</v>
      </c>
      <c r="B155" s="124"/>
      <c r="C155" s="124"/>
      <c r="D155" s="124"/>
      <c r="E155" s="124"/>
      <c r="F155" s="124"/>
      <c r="G155" s="124"/>
      <c r="H155" s="124"/>
      <c r="I155" s="124"/>
      <c r="J155" s="24">
        <f t="shared" ref="J155:P155" si="53">SUM(J154:J154)</f>
        <v>0</v>
      </c>
      <c r="K155" s="24">
        <f t="shared" si="53"/>
        <v>0</v>
      </c>
      <c r="L155" s="24">
        <f t="shared" si="53"/>
        <v>0</v>
      </c>
      <c r="M155" s="24">
        <f t="shared" si="53"/>
        <v>0</v>
      </c>
      <c r="N155" s="24">
        <f t="shared" si="53"/>
        <v>0</v>
      </c>
      <c r="O155" s="24">
        <f t="shared" si="53"/>
        <v>0</v>
      </c>
      <c r="P155" s="24">
        <f t="shared" si="53"/>
        <v>0</v>
      </c>
      <c r="Q155" s="22">
        <f>COUNTIF(Q154:Q154,"E")</f>
        <v>0</v>
      </c>
      <c r="R155" s="22">
        <f>COUNTIF(R154:R154,"C")</f>
        <v>0</v>
      </c>
      <c r="S155" s="22">
        <f>COUNTIF(S154:S154,"VP")</f>
        <v>0</v>
      </c>
      <c r="T155" s="23"/>
    </row>
    <row r="156" spans="1:20" ht="25.5" customHeight="1" x14ac:dyDescent="0.25">
      <c r="A156" s="125" t="s">
        <v>73</v>
      </c>
      <c r="B156" s="126"/>
      <c r="C156" s="126"/>
      <c r="D156" s="126"/>
      <c r="E156" s="126"/>
      <c r="F156" s="126"/>
      <c r="G156" s="126"/>
      <c r="H156" s="126"/>
      <c r="I156" s="127"/>
      <c r="J156" s="24">
        <f t="shared" ref="J156:P156" si="54">SUM(J152,J155)</f>
        <v>15</v>
      </c>
      <c r="K156" s="24">
        <f t="shared" si="54"/>
        <v>4</v>
      </c>
      <c r="L156" s="24">
        <f t="shared" si="54"/>
        <v>2</v>
      </c>
      <c r="M156" s="24">
        <f t="shared" si="54"/>
        <v>4</v>
      </c>
      <c r="N156" s="24">
        <f t="shared" si="54"/>
        <v>10</v>
      </c>
      <c r="O156" s="24">
        <f t="shared" si="54"/>
        <v>17</v>
      </c>
      <c r="P156" s="24">
        <f t="shared" si="54"/>
        <v>27</v>
      </c>
      <c r="Q156" s="24">
        <f>SUM(Q152,Q155)</f>
        <v>2</v>
      </c>
      <c r="R156" s="24">
        <f t="shared" ref="R156:S156" si="55">SUM(R152,R155)</f>
        <v>0</v>
      </c>
      <c r="S156" s="24">
        <f t="shared" si="55"/>
        <v>0</v>
      </c>
      <c r="T156" s="29"/>
    </row>
    <row r="157" spans="1:20" ht="13.5" customHeight="1" x14ac:dyDescent="0.25">
      <c r="A157" s="134" t="s">
        <v>48</v>
      </c>
      <c r="B157" s="135"/>
      <c r="C157" s="135"/>
      <c r="D157" s="135"/>
      <c r="E157" s="135"/>
      <c r="F157" s="135"/>
      <c r="G157" s="135"/>
      <c r="H157" s="135"/>
      <c r="I157" s="135"/>
      <c r="J157" s="136"/>
      <c r="K157" s="24">
        <f t="shared" ref="K157:P157" si="56">K152*14+K155*12</f>
        <v>56</v>
      </c>
      <c r="L157" s="24">
        <f t="shared" si="56"/>
        <v>28</v>
      </c>
      <c r="M157" s="24">
        <f t="shared" si="56"/>
        <v>56</v>
      </c>
      <c r="N157" s="24">
        <f t="shared" si="56"/>
        <v>140</v>
      </c>
      <c r="O157" s="24">
        <f t="shared" si="56"/>
        <v>238</v>
      </c>
      <c r="P157" s="24">
        <f t="shared" si="56"/>
        <v>378</v>
      </c>
      <c r="Q157" s="140"/>
      <c r="R157" s="141"/>
      <c r="S157" s="141"/>
      <c r="T157" s="142"/>
    </row>
    <row r="158" spans="1:20" ht="16.5" customHeight="1" x14ac:dyDescent="0.25">
      <c r="A158" s="137"/>
      <c r="B158" s="138"/>
      <c r="C158" s="138"/>
      <c r="D158" s="138"/>
      <c r="E158" s="138"/>
      <c r="F158" s="138"/>
      <c r="G158" s="138"/>
      <c r="H158" s="138"/>
      <c r="I158" s="138"/>
      <c r="J158" s="139"/>
      <c r="K158" s="128">
        <f>SUM(K157:M157)</f>
        <v>140</v>
      </c>
      <c r="L158" s="129"/>
      <c r="M158" s="130"/>
      <c r="N158" s="131">
        <f>SUM(N157:O157)</f>
        <v>378</v>
      </c>
      <c r="O158" s="132"/>
      <c r="P158" s="133"/>
      <c r="Q158" s="143"/>
      <c r="R158" s="144"/>
      <c r="S158" s="144"/>
      <c r="T158" s="145"/>
    </row>
    <row r="159" spans="1:20" ht="8.25" customHeight="1" x14ac:dyDescent="0.25"/>
    <row r="160" spans="1:20" hidden="1" x14ac:dyDescent="0.25">
      <c r="B160" s="2"/>
      <c r="C160" s="2"/>
      <c r="D160" s="2"/>
      <c r="E160" s="2"/>
      <c r="F160" s="2"/>
      <c r="G160" s="2"/>
      <c r="M160" s="8"/>
      <c r="N160" s="8"/>
      <c r="O160" s="8"/>
      <c r="P160" s="8"/>
      <c r="Q160" s="8"/>
      <c r="R160" s="8"/>
      <c r="S160" s="8"/>
    </row>
    <row r="161" spans="1:34" hidden="1" x14ac:dyDescent="0.25">
      <c r="B161" s="8"/>
      <c r="C161" s="8"/>
      <c r="D161" s="8"/>
      <c r="E161" s="8"/>
      <c r="F161" s="8"/>
      <c r="G161" s="8"/>
      <c r="H161" s="17"/>
      <c r="I161" s="17"/>
      <c r="J161" s="17"/>
      <c r="M161" s="8"/>
      <c r="N161" s="8"/>
      <c r="O161" s="8"/>
      <c r="P161" s="8"/>
      <c r="Q161" s="8"/>
      <c r="R161" s="8"/>
      <c r="S161" s="8"/>
    </row>
    <row r="162" spans="1:34" hidden="1" x14ac:dyDescent="0.25"/>
    <row r="163" spans="1:34" hidden="1" x14ac:dyDescent="0.25">
      <c r="B163" s="2"/>
      <c r="C163" s="2"/>
      <c r="D163" s="2"/>
      <c r="E163" s="2"/>
      <c r="F163" s="2"/>
      <c r="G163" s="2"/>
      <c r="M163" s="8"/>
      <c r="N163" s="8"/>
      <c r="O163" s="8"/>
      <c r="P163" s="8"/>
      <c r="Q163" s="8"/>
      <c r="R163" s="8"/>
      <c r="S163" s="8"/>
    </row>
    <row r="164" spans="1:34" hidden="1" x14ac:dyDescent="0.25">
      <c r="B164" s="8"/>
      <c r="C164" s="8"/>
      <c r="D164" s="8"/>
      <c r="E164" s="8"/>
      <c r="F164" s="8"/>
      <c r="G164" s="8"/>
      <c r="H164" s="17"/>
      <c r="I164" s="17"/>
      <c r="J164" s="17"/>
      <c r="M164" s="8"/>
      <c r="N164" s="8"/>
      <c r="O164" s="8"/>
      <c r="P164" s="8"/>
      <c r="Q164" s="8"/>
      <c r="R164" s="8"/>
      <c r="S164" s="8"/>
    </row>
    <row r="166" spans="1:34" x14ac:dyDescent="0.25">
      <c r="A166" s="146" t="s">
        <v>59</v>
      </c>
      <c r="B166" s="146"/>
    </row>
    <row r="167" spans="1:34" x14ac:dyDescent="0.25">
      <c r="A167" s="147" t="s">
        <v>27</v>
      </c>
      <c r="B167" s="149" t="s">
        <v>51</v>
      </c>
      <c r="C167" s="150"/>
      <c r="D167" s="150"/>
      <c r="E167" s="150"/>
      <c r="F167" s="150"/>
      <c r="G167" s="151"/>
      <c r="H167" s="149" t="s">
        <v>54</v>
      </c>
      <c r="I167" s="151"/>
      <c r="J167" s="99" t="s">
        <v>55</v>
      </c>
      <c r="K167" s="100"/>
      <c r="L167" s="100"/>
      <c r="M167" s="100"/>
      <c r="N167" s="100"/>
      <c r="O167" s="101"/>
      <c r="P167" s="149" t="s">
        <v>47</v>
      </c>
      <c r="Q167" s="151"/>
      <c r="R167" s="99" t="s">
        <v>56</v>
      </c>
      <c r="S167" s="100"/>
      <c r="T167" s="101"/>
    </row>
    <row r="168" spans="1:34" x14ac:dyDescent="0.25">
      <c r="A168" s="148"/>
      <c r="B168" s="152"/>
      <c r="C168" s="153"/>
      <c r="D168" s="153"/>
      <c r="E168" s="153"/>
      <c r="F168" s="153"/>
      <c r="G168" s="154"/>
      <c r="H168" s="152"/>
      <c r="I168" s="154"/>
      <c r="J168" s="99" t="s">
        <v>34</v>
      </c>
      <c r="K168" s="101"/>
      <c r="L168" s="99" t="s">
        <v>7</v>
      </c>
      <c r="M168" s="101"/>
      <c r="N168" s="99" t="s">
        <v>31</v>
      </c>
      <c r="O168" s="101"/>
      <c r="P168" s="152"/>
      <c r="Q168" s="154"/>
      <c r="R168" s="37" t="s">
        <v>57</v>
      </c>
      <c r="S168" s="99" t="s">
        <v>58</v>
      </c>
      <c r="T168" s="101"/>
    </row>
    <row r="169" spans="1:34" x14ac:dyDescent="0.25">
      <c r="A169" s="37">
        <v>1</v>
      </c>
      <c r="B169" s="99" t="s">
        <v>52</v>
      </c>
      <c r="C169" s="100"/>
      <c r="D169" s="100"/>
      <c r="E169" s="100"/>
      <c r="F169" s="100"/>
      <c r="G169" s="101"/>
      <c r="H169" s="109">
        <f>J169</f>
        <v>1028</v>
      </c>
      <c r="I169" s="109"/>
      <c r="J169" s="110">
        <f>SUM((N44+N54+N65)*14+(N75*12)-J170)</f>
        <v>1028</v>
      </c>
      <c r="K169" s="111"/>
      <c r="L169" s="110">
        <f>SUM((O44+O54+O65)*14+(O75*12)-L170)</f>
        <v>1736</v>
      </c>
      <c r="M169" s="111"/>
      <c r="N169" s="112">
        <f>SUM(J169:M169)</f>
        <v>2764</v>
      </c>
      <c r="O169" s="113"/>
      <c r="P169" s="114">
        <f>H169/H171</f>
        <v>0.88773747841105355</v>
      </c>
      <c r="Q169" s="115"/>
      <c r="R169" s="38">
        <f>J44+J54-R170</f>
        <v>54</v>
      </c>
      <c r="S169" s="116">
        <f>J65+J75-S170</f>
        <v>54</v>
      </c>
      <c r="T169" s="117"/>
    </row>
    <row r="170" spans="1:34" x14ac:dyDescent="0.25">
      <c r="A170" s="37">
        <v>2</v>
      </c>
      <c r="B170" s="99" t="s">
        <v>53</v>
      </c>
      <c r="C170" s="100"/>
      <c r="D170" s="100"/>
      <c r="E170" s="100"/>
      <c r="F170" s="100"/>
      <c r="G170" s="101"/>
      <c r="H170" s="109">
        <f>J170</f>
        <v>130</v>
      </c>
      <c r="I170" s="109"/>
      <c r="J170" s="118">
        <f>N92</f>
        <v>130</v>
      </c>
      <c r="K170" s="119"/>
      <c r="L170" s="118">
        <f>O92</f>
        <v>156</v>
      </c>
      <c r="M170" s="119"/>
      <c r="N170" s="120">
        <f>SUM(J170:M170)</f>
        <v>286</v>
      </c>
      <c r="O170" s="113"/>
      <c r="P170" s="114">
        <f>H170/H171</f>
        <v>0.11226252158894647</v>
      </c>
      <c r="Q170" s="115"/>
      <c r="R170" s="18">
        <v>6</v>
      </c>
      <c r="S170" s="121">
        <v>6</v>
      </c>
      <c r="T170" s="122"/>
      <c r="U170" s="227" t="str">
        <f>IF(N170=P92,"Corect","Nu corespunde cu tabelul de opționale")</f>
        <v>Corect</v>
      </c>
      <c r="V170" s="228"/>
      <c r="W170" s="228"/>
      <c r="X170" s="228"/>
    </row>
    <row r="171" spans="1:34" x14ac:dyDescent="0.25">
      <c r="A171" s="99" t="s">
        <v>25</v>
      </c>
      <c r="B171" s="100"/>
      <c r="C171" s="100"/>
      <c r="D171" s="100"/>
      <c r="E171" s="100"/>
      <c r="F171" s="100"/>
      <c r="G171" s="101"/>
      <c r="H171" s="102">
        <f>SUM(H169:I170)</f>
        <v>1158</v>
      </c>
      <c r="I171" s="102"/>
      <c r="J171" s="102">
        <f>SUM(J169:K170)</f>
        <v>1158</v>
      </c>
      <c r="K171" s="102"/>
      <c r="L171" s="103">
        <f>SUM(L169:M170)</f>
        <v>1892</v>
      </c>
      <c r="M171" s="104"/>
      <c r="N171" s="103">
        <f>SUM(N169:O170)</f>
        <v>3050</v>
      </c>
      <c r="O171" s="104"/>
      <c r="P171" s="105">
        <f>SUM(P169:Q170)</f>
        <v>1</v>
      </c>
      <c r="Q171" s="106"/>
      <c r="R171" s="39">
        <f>SUM(R169:R170)</f>
        <v>60</v>
      </c>
      <c r="S171" s="107">
        <f>SUM(S169:T170)</f>
        <v>60</v>
      </c>
      <c r="T171" s="108"/>
    </row>
    <row r="172" spans="1:34" ht="36.75" customHeight="1" x14ac:dyDescent="0.25"/>
    <row r="173" spans="1:34" x14ac:dyDescent="0.25">
      <c r="A173" s="185" t="s">
        <v>79</v>
      </c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/>
      <c r="T173" s="185"/>
    </row>
    <row r="174" spans="1:34" x14ac:dyDescent="0.2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</row>
    <row r="175" spans="1:34" ht="12.75" customHeight="1" x14ac:dyDescent="0.25">
      <c r="A175" s="98" t="s">
        <v>74</v>
      </c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71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</row>
    <row r="176" spans="1:34" ht="27.75" customHeight="1" x14ac:dyDescent="0.25">
      <c r="A176" s="98" t="s">
        <v>27</v>
      </c>
      <c r="B176" s="98" t="s">
        <v>26</v>
      </c>
      <c r="C176" s="98"/>
      <c r="D176" s="98"/>
      <c r="E176" s="98"/>
      <c r="F176" s="98"/>
      <c r="G176" s="98"/>
      <c r="H176" s="98"/>
      <c r="I176" s="98"/>
      <c r="J176" s="166" t="s">
        <v>40</v>
      </c>
      <c r="K176" s="166" t="s">
        <v>24</v>
      </c>
      <c r="L176" s="166"/>
      <c r="M176" s="166"/>
      <c r="N176" s="166" t="s">
        <v>41</v>
      </c>
      <c r="O176" s="174"/>
      <c r="P176" s="174"/>
      <c r="Q176" s="166" t="s">
        <v>23</v>
      </c>
      <c r="R176" s="166"/>
      <c r="S176" s="166"/>
      <c r="T176" s="166" t="s">
        <v>22</v>
      </c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</row>
    <row r="177" spans="1:34" x14ac:dyDescent="0.25">
      <c r="A177" s="98"/>
      <c r="B177" s="98"/>
      <c r="C177" s="98"/>
      <c r="D177" s="98"/>
      <c r="E177" s="98"/>
      <c r="F177" s="98"/>
      <c r="G177" s="98"/>
      <c r="H177" s="98"/>
      <c r="I177" s="98"/>
      <c r="J177" s="166"/>
      <c r="K177" s="50" t="s">
        <v>28</v>
      </c>
      <c r="L177" s="50" t="s">
        <v>29</v>
      </c>
      <c r="M177" s="50" t="s">
        <v>30</v>
      </c>
      <c r="N177" s="50" t="s">
        <v>34</v>
      </c>
      <c r="O177" s="50" t="s">
        <v>7</v>
      </c>
      <c r="P177" s="50" t="s">
        <v>31</v>
      </c>
      <c r="Q177" s="50" t="s">
        <v>32</v>
      </c>
      <c r="R177" s="50" t="s">
        <v>28</v>
      </c>
      <c r="S177" s="50" t="s">
        <v>33</v>
      </c>
      <c r="T177" s="166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</row>
    <row r="178" spans="1:34" x14ac:dyDescent="0.25">
      <c r="A178" s="226" t="s">
        <v>75</v>
      </c>
      <c r="B178" s="226"/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</row>
    <row r="179" spans="1:34" s="44" customFormat="1" x14ac:dyDescent="0.25">
      <c r="A179" s="45" t="s">
        <v>68</v>
      </c>
      <c r="B179" s="66" t="s">
        <v>80</v>
      </c>
      <c r="C179" s="66"/>
      <c r="D179" s="66"/>
      <c r="E179" s="66"/>
      <c r="F179" s="66"/>
      <c r="G179" s="66"/>
      <c r="H179" s="66"/>
      <c r="I179" s="66"/>
      <c r="J179" s="41">
        <v>5</v>
      </c>
      <c r="K179" s="41">
        <v>2</v>
      </c>
      <c r="L179" s="41">
        <v>1</v>
      </c>
      <c r="M179" s="41">
        <v>0</v>
      </c>
      <c r="N179" s="42">
        <f>K179+L179+M179</f>
        <v>3</v>
      </c>
      <c r="O179" s="42">
        <f>P179-N179</f>
        <v>6</v>
      </c>
      <c r="P179" s="42">
        <f>ROUND(PRODUCT(J179,25)/14,0)</f>
        <v>9</v>
      </c>
      <c r="Q179" s="41" t="s">
        <v>32</v>
      </c>
      <c r="R179" s="41"/>
      <c r="S179" s="43"/>
      <c r="T179" s="43" t="s">
        <v>37</v>
      </c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</row>
    <row r="180" spans="1:34" x14ac:dyDescent="0.25">
      <c r="A180" s="45" t="s">
        <v>69</v>
      </c>
      <c r="B180" s="66" t="s">
        <v>81</v>
      </c>
      <c r="C180" s="66"/>
      <c r="D180" s="66"/>
      <c r="E180" s="66"/>
      <c r="F180" s="66"/>
      <c r="G180" s="66"/>
      <c r="H180" s="66"/>
      <c r="I180" s="66"/>
      <c r="J180" s="41">
        <v>5</v>
      </c>
      <c r="K180" s="41">
        <v>2</v>
      </c>
      <c r="L180" s="41">
        <v>1</v>
      </c>
      <c r="M180" s="41">
        <v>0</v>
      </c>
      <c r="N180" s="42">
        <f>K180+L180+M180</f>
        <v>3</v>
      </c>
      <c r="O180" s="42">
        <f>P180-N180</f>
        <v>6</v>
      </c>
      <c r="P180" s="42">
        <f>ROUND(PRODUCT(J180,25)/14,0)</f>
        <v>9</v>
      </c>
      <c r="Q180" s="41" t="s">
        <v>32</v>
      </c>
      <c r="R180" s="41"/>
      <c r="S180" s="43"/>
      <c r="T180" s="43" t="s">
        <v>37</v>
      </c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</row>
    <row r="181" spans="1:34" x14ac:dyDescent="0.25">
      <c r="A181" s="74" t="s">
        <v>76</v>
      </c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6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</row>
    <row r="182" spans="1:34" ht="36" customHeight="1" x14ac:dyDescent="0.25">
      <c r="A182" s="45" t="s">
        <v>70</v>
      </c>
      <c r="B182" s="67" t="s">
        <v>94</v>
      </c>
      <c r="C182" s="68"/>
      <c r="D182" s="68"/>
      <c r="E182" s="68"/>
      <c r="F182" s="68"/>
      <c r="G182" s="68"/>
      <c r="H182" s="68"/>
      <c r="I182" s="69"/>
      <c r="J182" s="41">
        <v>5</v>
      </c>
      <c r="K182" s="41">
        <v>2</v>
      </c>
      <c r="L182" s="41">
        <v>1</v>
      </c>
      <c r="M182" s="41">
        <v>0</v>
      </c>
      <c r="N182" s="42">
        <f>K182+L182+M182</f>
        <v>3</v>
      </c>
      <c r="O182" s="42">
        <f>P182-N182</f>
        <v>6</v>
      </c>
      <c r="P182" s="42">
        <f>ROUND(PRODUCT(J182,25)/14,0)</f>
        <v>9</v>
      </c>
      <c r="Q182" s="41" t="s">
        <v>32</v>
      </c>
      <c r="R182" s="41"/>
      <c r="S182" s="43"/>
      <c r="T182" s="43" t="s">
        <v>82</v>
      </c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</row>
    <row r="183" spans="1:34" s="44" customFormat="1" ht="15" customHeight="1" x14ac:dyDescent="0.25">
      <c r="A183" s="45" t="s">
        <v>71</v>
      </c>
      <c r="B183" s="67" t="s">
        <v>95</v>
      </c>
      <c r="C183" s="68"/>
      <c r="D183" s="68"/>
      <c r="E183" s="68"/>
      <c r="F183" s="68"/>
      <c r="G183" s="68"/>
      <c r="H183" s="68"/>
      <c r="I183" s="69"/>
      <c r="J183" s="41">
        <v>5</v>
      </c>
      <c r="K183" s="41">
        <v>1</v>
      </c>
      <c r="L183" s="41">
        <v>2</v>
      </c>
      <c r="M183" s="41">
        <v>0</v>
      </c>
      <c r="N183" s="42">
        <f>K183+L183+M183</f>
        <v>3</v>
      </c>
      <c r="O183" s="42">
        <f>P183-N183</f>
        <v>6</v>
      </c>
      <c r="P183" s="42">
        <f>ROUND(PRODUCT(J183,25)/14,0)</f>
        <v>9</v>
      </c>
      <c r="Q183" s="41" t="s">
        <v>32</v>
      </c>
      <c r="R183" s="41"/>
      <c r="S183" s="43"/>
      <c r="T183" s="43" t="s">
        <v>83</v>
      </c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</row>
    <row r="184" spans="1:34" x14ac:dyDescent="0.25">
      <c r="A184" s="74" t="s">
        <v>77</v>
      </c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6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</row>
    <row r="185" spans="1:34" s="44" customFormat="1" ht="29.25" customHeight="1" x14ac:dyDescent="0.25">
      <c r="A185" s="45" t="s">
        <v>85</v>
      </c>
      <c r="B185" s="67" t="s">
        <v>84</v>
      </c>
      <c r="C185" s="68"/>
      <c r="D185" s="68"/>
      <c r="E185" s="68"/>
      <c r="F185" s="68"/>
      <c r="G185" s="68"/>
      <c r="H185" s="68"/>
      <c r="I185" s="69"/>
      <c r="J185" s="41">
        <v>5</v>
      </c>
      <c r="K185" s="41">
        <v>0</v>
      </c>
      <c r="L185" s="41">
        <v>0</v>
      </c>
      <c r="M185" s="41">
        <v>3</v>
      </c>
      <c r="N185" s="42">
        <f>K185+L185+M185</f>
        <v>3</v>
      </c>
      <c r="O185" s="42">
        <f>P185-N185</f>
        <v>6</v>
      </c>
      <c r="P185" s="42">
        <f>ROUND(PRODUCT(J185,25)/14,0)</f>
        <v>9</v>
      </c>
      <c r="Q185" s="41"/>
      <c r="R185" s="41" t="s">
        <v>28</v>
      </c>
      <c r="S185" s="43"/>
      <c r="T185" s="43" t="s">
        <v>82</v>
      </c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</row>
    <row r="186" spans="1:34" ht="18" customHeight="1" x14ac:dyDescent="0.25">
      <c r="A186" s="45" t="s">
        <v>86</v>
      </c>
      <c r="B186" s="67" t="s">
        <v>96</v>
      </c>
      <c r="C186" s="68"/>
      <c r="D186" s="68"/>
      <c r="E186" s="68"/>
      <c r="F186" s="68"/>
      <c r="G186" s="68"/>
      <c r="H186" s="68"/>
      <c r="I186" s="69"/>
      <c r="J186" s="41">
        <v>5</v>
      </c>
      <c r="K186" s="41">
        <v>1</v>
      </c>
      <c r="L186" s="41">
        <v>2</v>
      </c>
      <c r="M186" s="41">
        <v>0</v>
      </c>
      <c r="N186" s="42">
        <f>K186+L186+M186</f>
        <v>3</v>
      </c>
      <c r="O186" s="42">
        <f>P186-N186</f>
        <v>6</v>
      </c>
      <c r="P186" s="42">
        <f>ROUND(PRODUCT(J186,25)/14,0)</f>
        <v>9</v>
      </c>
      <c r="Q186" s="41" t="s">
        <v>32</v>
      </c>
      <c r="R186" s="41"/>
      <c r="S186" s="43"/>
      <c r="T186" s="43" t="s">
        <v>83</v>
      </c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</row>
    <row r="187" spans="1:34" x14ac:dyDescent="0.25">
      <c r="A187" s="77" t="s">
        <v>78</v>
      </c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9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</row>
    <row r="188" spans="1:34" ht="18.75" customHeight="1" x14ac:dyDescent="0.25">
      <c r="A188" s="45"/>
      <c r="B188" s="67" t="s">
        <v>72</v>
      </c>
      <c r="C188" s="68"/>
      <c r="D188" s="68"/>
      <c r="E188" s="68"/>
      <c r="F188" s="68"/>
      <c r="G188" s="68"/>
      <c r="H188" s="68"/>
      <c r="I188" s="69"/>
      <c r="J188" s="41">
        <v>5</v>
      </c>
      <c r="K188" s="41"/>
      <c r="L188" s="41"/>
      <c r="M188" s="41"/>
      <c r="N188" s="42"/>
      <c r="O188" s="42"/>
      <c r="P188" s="42"/>
      <c r="Q188" s="41"/>
      <c r="R188" s="41"/>
      <c r="S188" s="43"/>
      <c r="T188" s="46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</row>
    <row r="189" spans="1:34" ht="20.25" customHeight="1" x14ac:dyDescent="0.25">
      <c r="A189" s="80" t="s">
        <v>73</v>
      </c>
      <c r="B189" s="81"/>
      <c r="C189" s="81"/>
      <c r="D189" s="81"/>
      <c r="E189" s="81"/>
      <c r="F189" s="81"/>
      <c r="G189" s="81"/>
      <c r="H189" s="81"/>
      <c r="I189" s="82"/>
      <c r="J189" s="47">
        <f>SUM(J179:J180,J182:J183,J185:J186,J188)</f>
        <v>35</v>
      </c>
      <c r="K189" s="47">
        <f t="shared" ref="K189:P189" si="57">SUM(K179:K180,K182:K183,K185:K186,K188)</f>
        <v>8</v>
      </c>
      <c r="L189" s="47">
        <f t="shared" si="57"/>
        <v>7</v>
      </c>
      <c r="M189" s="47">
        <f t="shared" si="57"/>
        <v>3</v>
      </c>
      <c r="N189" s="47">
        <f t="shared" si="57"/>
        <v>18</v>
      </c>
      <c r="O189" s="47">
        <f t="shared" si="57"/>
        <v>36</v>
      </c>
      <c r="P189" s="47">
        <f t="shared" si="57"/>
        <v>54</v>
      </c>
      <c r="Q189" s="49">
        <f>COUNTIF(Q179:Q180,"E")+COUNTIF(Q182:Q183,"E")+COUNTIF(Q185:Q186,"E")+COUNTIF(Q188,"E")</f>
        <v>5</v>
      </c>
      <c r="R189" s="49">
        <f>COUNTIF(R179:R180,"C")+COUNTIF(R182:R183,"C")+COUNTIF(R185:R186,"C")+COUNTIF(R188,"C")</f>
        <v>1</v>
      </c>
      <c r="S189" s="49">
        <f>COUNTIF(S179:S180,"VP")+COUNTIF(S182:S183,"VP")+COUNTIF(S185:S186,"VP")+COUNTIF(S188,"VP")</f>
        <v>0</v>
      </c>
      <c r="T189" s="48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</row>
    <row r="190" spans="1:34" ht="20.25" customHeight="1" x14ac:dyDescent="0.25">
      <c r="A190" s="83" t="s">
        <v>48</v>
      </c>
      <c r="B190" s="84"/>
      <c r="C190" s="84"/>
      <c r="D190" s="84"/>
      <c r="E190" s="84"/>
      <c r="F190" s="84"/>
      <c r="G190" s="84"/>
      <c r="H190" s="84"/>
      <c r="I190" s="84"/>
      <c r="J190" s="85"/>
      <c r="K190" s="47">
        <f>SUM(K179:K180,K182:K183,K185:K186)*14</f>
        <v>112</v>
      </c>
      <c r="L190" s="47">
        <f t="shared" ref="L190:P190" si="58">SUM(L179:L180,L182:L183,L185:L186)*14</f>
        <v>98</v>
      </c>
      <c r="M190" s="47">
        <f t="shared" si="58"/>
        <v>42</v>
      </c>
      <c r="N190" s="47">
        <f t="shared" si="58"/>
        <v>252</v>
      </c>
      <c r="O190" s="47">
        <f t="shared" si="58"/>
        <v>504</v>
      </c>
      <c r="P190" s="47">
        <f t="shared" si="58"/>
        <v>756</v>
      </c>
      <c r="Q190" s="89"/>
      <c r="R190" s="90"/>
      <c r="S190" s="90"/>
      <c r="T190" s="91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</row>
    <row r="191" spans="1:34" ht="20.25" customHeight="1" x14ac:dyDescent="0.25">
      <c r="A191" s="86"/>
      <c r="B191" s="87"/>
      <c r="C191" s="87"/>
      <c r="D191" s="87"/>
      <c r="E191" s="87"/>
      <c r="F191" s="87"/>
      <c r="G191" s="87"/>
      <c r="H191" s="87"/>
      <c r="I191" s="87"/>
      <c r="J191" s="88"/>
      <c r="K191" s="95">
        <f>SUM(K190:M190)</f>
        <v>252</v>
      </c>
      <c r="L191" s="96"/>
      <c r="M191" s="97"/>
      <c r="N191" s="95">
        <f>SUM(N190:O190)</f>
        <v>756</v>
      </c>
      <c r="O191" s="96"/>
      <c r="P191" s="97"/>
      <c r="Q191" s="92"/>
      <c r="R191" s="93"/>
      <c r="S191" s="93"/>
      <c r="T191" s="94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</row>
    <row r="192" spans="1:34" x14ac:dyDescent="0.25"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</row>
    <row r="193" spans="1:34" x14ac:dyDescent="0.25">
      <c r="A193" s="70" t="s">
        <v>87</v>
      </c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</row>
    <row r="194" spans="1:34" x14ac:dyDescent="0.25">
      <c r="A194" s="70" t="s">
        <v>88</v>
      </c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</row>
    <row r="195" spans="1:34" x14ac:dyDescent="0.25">
      <c r="A195" s="70" t="s">
        <v>89</v>
      </c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</row>
    <row r="196" spans="1:34" x14ac:dyDescent="0.25"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</row>
    <row r="197" spans="1:34" x14ac:dyDescent="0.25"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</row>
    <row r="198" spans="1:34" x14ac:dyDescent="0.25"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</row>
    <row r="199" spans="1:34" x14ac:dyDescent="0.25"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</row>
    <row r="200" spans="1:34" x14ac:dyDescent="0.25"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</row>
  </sheetData>
  <sheetProtection formatCells="0" formatRows="0" insertRows="0"/>
  <mergeCells count="275">
    <mergeCell ref="B54:I54"/>
    <mergeCell ref="J81:J82"/>
    <mergeCell ref="B64:I64"/>
    <mergeCell ref="B70:I70"/>
    <mergeCell ref="B71:I71"/>
    <mergeCell ref="B72:I72"/>
    <mergeCell ref="B75:I75"/>
    <mergeCell ref="B103:I103"/>
    <mergeCell ref="B104:I104"/>
    <mergeCell ref="B90:I90"/>
    <mergeCell ref="B61:I61"/>
    <mergeCell ref="B62:I62"/>
    <mergeCell ref="B63:I63"/>
    <mergeCell ref="A173:T173"/>
    <mergeCell ref="N100:P100"/>
    <mergeCell ref="A58:T58"/>
    <mergeCell ref="J59:J60"/>
    <mergeCell ref="K59:M59"/>
    <mergeCell ref="A100:A101"/>
    <mergeCell ref="B100:I101"/>
    <mergeCell ref="J100:J101"/>
    <mergeCell ref="N59:P59"/>
    <mergeCell ref="Q59:S59"/>
    <mergeCell ref="T59:T60"/>
    <mergeCell ref="A59:A60"/>
    <mergeCell ref="B59:I60"/>
    <mergeCell ref="A80:T80"/>
    <mergeCell ref="B105:I105"/>
    <mergeCell ref="B106:I106"/>
    <mergeCell ref="B107:I107"/>
    <mergeCell ref="B108:I108"/>
    <mergeCell ref="B110:I110"/>
    <mergeCell ref="B111:I111"/>
    <mergeCell ref="A178:T178"/>
    <mergeCell ref="U75:W75"/>
    <mergeCell ref="U170:X170"/>
    <mergeCell ref="B112:I112"/>
    <mergeCell ref="A119:J120"/>
    <mergeCell ref="Q119:T120"/>
    <mergeCell ref="B109:I109"/>
    <mergeCell ref="N120:P120"/>
    <mergeCell ref="K120:M120"/>
    <mergeCell ref="A118:I118"/>
    <mergeCell ref="B117:I117"/>
    <mergeCell ref="Q100:S100"/>
    <mergeCell ref="A102:T102"/>
    <mergeCell ref="T100:T101"/>
    <mergeCell ref="A99:T99"/>
    <mergeCell ref="A98:T98"/>
    <mergeCell ref="K100:M100"/>
    <mergeCell ref="B116:I116"/>
    <mergeCell ref="B151:I151"/>
    <mergeCell ref="B84:I84"/>
    <mergeCell ref="B86:I86"/>
    <mergeCell ref="B88:I88"/>
    <mergeCell ref="A83:T83"/>
    <mergeCell ref="A87:T87"/>
    <mergeCell ref="U54:W54"/>
    <mergeCell ref="U65:W65"/>
    <mergeCell ref="U9:Z12"/>
    <mergeCell ref="U15:Z17"/>
    <mergeCell ref="U20:AA23"/>
    <mergeCell ref="AA16:AB16"/>
    <mergeCell ref="J176:J177"/>
    <mergeCell ref="K176:M176"/>
    <mergeCell ref="N176:P176"/>
    <mergeCell ref="Q176:S176"/>
    <mergeCell ref="T176:T177"/>
    <mergeCell ref="A11:K11"/>
    <mergeCell ref="A12:K12"/>
    <mergeCell ref="B26:C26"/>
    <mergeCell ref="H26:H27"/>
    <mergeCell ref="A25:G25"/>
    <mergeCell ref="G26:G27"/>
    <mergeCell ref="B49:I49"/>
    <mergeCell ref="B50:I50"/>
    <mergeCell ref="B51:I51"/>
    <mergeCell ref="B53:I53"/>
    <mergeCell ref="A46:T46"/>
    <mergeCell ref="J47:J48"/>
    <mergeCell ref="A47:A48"/>
    <mergeCell ref="U3:X3"/>
    <mergeCell ref="U6:X6"/>
    <mergeCell ref="U28:V28"/>
    <mergeCell ref="U29:V29"/>
    <mergeCell ref="U44:W44"/>
    <mergeCell ref="M21:T23"/>
    <mergeCell ref="I26:K26"/>
    <mergeCell ref="A13:K13"/>
    <mergeCell ref="A14:K14"/>
    <mergeCell ref="A16:K16"/>
    <mergeCell ref="M17:T17"/>
    <mergeCell ref="M18:T18"/>
    <mergeCell ref="M13:T13"/>
    <mergeCell ref="M16:T16"/>
    <mergeCell ref="M15:T15"/>
    <mergeCell ref="R6:T6"/>
    <mergeCell ref="A15:K15"/>
    <mergeCell ref="J38:J39"/>
    <mergeCell ref="A37:T37"/>
    <mergeCell ref="A20:K23"/>
    <mergeCell ref="A38:A39"/>
    <mergeCell ref="M25:T30"/>
    <mergeCell ref="A10:K10"/>
    <mergeCell ref="M6:N6"/>
    <mergeCell ref="A7:K7"/>
    <mergeCell ref="A8:K8"/>
    <mergeCell ref="A9:K9"/>
    <mergeCell ref="M8:T11"/>
    <mergeCell ref="R4:T4"/>
    <mergeCell ref="R5:T5"/>
    <mergeCell ref="U4:X4"/>
    <mergeCell ref="U5:X5"/>
    <mergeCell ref="A1:K1"/>
    <mergeCell ref="A3:K3"/>
    <mergeCell ref="K47:M47"/>
    <mergeCell ref="M19:T19"/>
    <mergeCell ref="M1:T1"/>
    <mergeCell ref="M14:T14"/>
    <mergeCell ref="A4:K5"/>
    <mergeCell ref="A35:T35"/>
    <mergeCell ref="A19:K19"/>
    <mergeCell ref="A17:K17"/>
    <mergeCell ref="M3:N3"/>
    <mergeCell ref="M5:N5"/>
    <mergeCell ref="D26:F26"/>
    <mergeCell ref="A18:K18"/>
    <mergeCell ref="N47:P47"/>
    <mergeCell ref="Q47:S47"/>
    <mergeCell ref="R3:T3"/>
    <mergeCell ref="A2:K2"/>
    <mergeCell ref="A6:K6"/>
    <mergeCell ref="O5:Q5"/>
    <mergeCell ref="O6:Q6"/>
    <mergeCell ref="O3:Q3"/>
    <mergeCell ref="O4:Q4"/>
    <mergeCell ref="M4:N4"/>
    <mergeCell ref="N81:P81"/>
    <mergeCell ref="A81:A82"/>
    <mergeCell ref="T38:T39"/>
    <mergeCell ref="N38:P38"/>
    <mergeCell ref="K38:M38"/>
    <mergeCell ref="T47:T48"/>
    <mergeCell ref="Q38:S38"/>
    <mergeCell ref="T68:T69"/>
    <mergeCell ref="B65:I65"/>
    <mergeCell ref="B68:I69"/>
    <mergeCell ref="A67:T67"/>
    <mergeCell ref="J68:J69"/>
    <mergeCell ref="K68:M68"/>
    <mergeCell ref="N68:P68"/>
    <mergeCell ref="Q68:S68"/>
    <mergeCell ref="A68:A69"/>
    <mergeCell ref="B43:I43"/>
    <mergeCell ref="B44:I44"/>
    <mergeCell ref="B47:I48"/>
    <mergeCell ref="B40:I40"/>
    <mergeCell ref="B41:I41"/>
    <mergeCell ref="B42:I42"/>
    <mergeCell ref="B38:I39"/>
    <mergeCell ref="B52:I52"/>
    <mergeCell ref="B73:I73"/>
    <mergeCell ref="B74:I74"/>
    <mergeCell ref="B89:I89"/>
    <mergeCell ref="A113:T113"/>
    <mergeCell ref="J126:J127"/>
    <mergeCell ref="K126:M126"/>
    <mergeCell ref="T126:T127"/>
    <mergeCell ref="N126:P126"/>
    <mergeCell ref="B137:I137"/>
    <mergeCell ref="B131:I131"/>
    <mergeCell ref="A125:T125"/>
    <mergeCell ref="A128:T128"/>
    <mergeCell ref="B129:I129"/>
    <mergeCell ref="B114:I114"/>
    <mergeCell ref="B115:I115"/>
    <mergeCell ref="Q81:S81"/>
    <mergeCell ref="K93:M93"/>
    <mergeCell ref="N93:P93"/>
    <mergeCell ref="Q92:T93"/>
    <mergeCell ref="A91:I91"/>
    <mergeCell ref="A92:J93"/>
    <mergeCell ref="T81:T82"/>
    <mergeCell ref="B81:I82"/>
    <mergeCell ref="K81:M81"/>
    <mergeCell ref="B138:I138"/>
    <mergeCell ref="A139:I139"/>
    <mergeCell ref="Q126:S126"/>
    <mergeCell ref="B135:I135"/>
    <mergeCell ref="B136:I136"/>
    <mergeCell ref="B132:I132"/>
    <mergeCell ref="A133:T133"/>
    <mergeCell ref="B134:I134"/>
    <mergeCell ref="B130:I130"/>
    <mergeCell ref="A126:A127"/>
    <mergeCell ref="B126:I127"/>
    <mergeCell ref="A149:T149"/>
    <mergeCell ref="B150:I150"/>
    <mergeCell ref="B152:I152"/>
    <mergeCell ref="A153:T153"/>
    <mergeCell ref="A140:J141"/>
    <mergeCell ref="A147:A148"/>
    <mergeCell ref="A146:T146"/>
    <mergeCell ref="J147:J148"/>
    <mergeCell ref="K147:M147"/>
    <mergeCell ref="N147:P147"/>
    <mergeCell ref="Q140:T141"/>
    <mergeCell ref="K141:M141"/>
    <mergeCell ref="N141:P141"/>
    <mergeCell ref="B147:I148"/>
    <mergeCell ref="Q147:S147"/>
    <mergeCell ref="T147:T148"/>
    <mergeCell ref="B154:I154"/>
    <mergeCell ref="B155:I155"/>
    <mergeCell ref="A156:I156"/>
    <mergeCell ref="K158:M158"/>
    <mergeCell ref="N158:P158"/>
    <mergeCell ref="A157:J158"/>
    <mergeCell ref="Q157:T158"/>
    <mergeCell ref="A166:B166"/>
    <mergeCell ref="A167:A168"/>
    <mergeCell ref="B167:G168"/>
    <mergeCell ref="H167:I168"/>
    <mergeCell ref="J167:O167"/>
    <mergeCell ref="P167:Q168"/>
    <mergeCell ref="R167:T167"/>
    <mergeCell ref="J168:K168"/>
    <mergeCell ref="L168:M168"/>
    <mergeCell ref="N168:O168"/>
    <mergeCell ref="S168:T168"/>
    <mergeCell ref="A171:G171"/>
    <mergeCell ref="H171:I171"/>
    <mergeCell ref="J171:K171"/>
    <mergeCell ref="L171:M171"/>
    <mergeCell ref="N171:O171"/>
    <mergeCell ref="P171:Q171"/>
    <mergeCell ref="S171:T171"/>
    <mergeCell ref="B169:G169"/>
    <mergeCell ref="H169:I169"/>
    <mergeCell ref="J169:K169"/>
    <mergeCell ref="L169:M169"/>
    <mergeCell ref="N169:O169"/>
    <mergeCell ref="P169:Q169"/>
    <mergeCell ref="S169:T169"/>
    <mergeCell ref="B170:G170"/>
    <mergeCell ref="H170:I170"/>
    <mergeCell ref="J170:K170"/>
    <mergeCell ref="L170:M170"/>
    <mergeCell ref="N170:O170"/>
    <mergeCell ref="P170:Q170"/>
    <mergeCell ref="S170:T170"/>
    <mergeCell ref="B179:I179"/>
    <mergeCell ref="B185:I185"/>
    <mergeCell ref="A193:T193"/>
    <mergeCell ref="A194:T194"/>
    <mergeCell ref="A195:T195"/>
    <mergeCell ref="U175:AH176"/>
    <mergeCell ref="U177:AA200"/>
    <mergeCell ref="AB177:AH200"/>
    <mergeCell ref="A181:T181"/>
    <mergeCell ref="B182:I182"/>
    <mergeCell ref="A184:T184"/>
    <mergeCell ref="B186:I186"/>
    <mergeCell ref="A187:T187"/>
    <mergeCell ref="B188:I188"/>
    <mergeCell ref="A189:I189"/>
    <mergeCell ref="A190:J191"/>
    <mergeCell ref="Q190:T191"/>
    <mergeCell ref="K191:M191"/>
    <mergeCell ref="N191:P191"/>
    <mergeCell ref="B183:I183"/>
    <mergeCell ref="A175:T175"/>
    <mergeCell ref="B180:I180"/>
    <mergeCell ref="A176:A177"/>
    <mergeCell ref="B176:I177"/>
  </mergeCells>
  <phoneticPr fontId="6" type="noConversion"/>
  <conditionalFormatting sqref="U170 U3:U6 U28:U29">
    <cfRule type="cellIs" dxfId="23" priority="47" operator="equal">
      <formula>"E bine"</formula>
    </cfRule>
  </conditionalFormatting>
  <conditionalFormatting sqref="U170 U3:U6 U28:U29">
    <cfRule type="cellIs" dxfId="22" priority="46" operator="equal">
      <formula>"NU e bine"</formula>
    </cfRule>
  </conditionalFormatting>
  <conditionalFormatting sqref="U3:V6 U28:V29">
    <cfRule type="cellIs" dxfId="21" priority="39" operator="equal">
      <formula>"Suma trebuie să fie 52"</formula>
    </cfRule>
    <cfRule type="cellIs" dxfId="20" priority="40" operator="equal">
      <formula>"Corect"</formula>
    </cfRule>
    <cfRule type="cellIs" dxfId="19" priority="41" operator="equal">
      <formula>SUM($B$28:$J$28)</formula>
    </cfRule>
    <cfRule type="cellIs" dxfId="18" priority="42" operator="lessThan">
      <formula>"(SUM(B28:K28)=52"</formula>
    </cfRule>
    <cfRule type="cellIs" dxfId="17" priority="43" operator="equal">
      <formula>52</formula>
    </cfRule>
    <cfRule type="cellIs" dxfId="16" priority="44" operator="equal">
      <formula>$K$28</formula>
    </cfRule>
    <cfRule type="cellIs" dxfId="15" priority="45" operator="equal">
      <formula>$B$28:$K$28=52</formula>
    </cfRule>
  </conditionalFormatting>
  <conditionalFormatting sqref="U170:V170 U3:V6 U28:V29">
    <cfRule type="cellIs" dxfId="14" priority="37" operator="equal">
      <formula>"Suma trebuie să fie 52"</formula>
    </cfRule>
    <cfRule type="cellIs" dxfId="13" priority="38" operator="equal">
      <formula>"Corect"</formula>
    </cfRule>
  </conditionalFormatting>
  <conditionalFormatting sqref="U3:X6">
    <cfRule type="cellIs" dxfId="12" priority="36" operator="equal">
      <formula>"Trebuie alocate cel puțin 20 de ore pe săptămână"</formula>
    </cfRule>
  </conditionalFormatting>
  <conditionalFormatting sqref="U170:X170 U28:V29">
    <cfRule type="cellIs" dxfId="11" priority="24" operator="equal">
      <formula>"Corect"</formula>
    </cfRule>
  </conditionalFormatting>
  <conditionalFormatting sqref="U28:V28">
    <cfRule type="cellIs" dxfId="10" priority="23" operator="equal">
      <formula>"Correct"</formula>
    </cfRule>
  </conditionalFormatting>
  <conditionalFormatting sqref="U44:W44 U54:W54 U65:W65 U75:W75">
    <cfRule type="cellIs" dxfId="9" priority="20" operator="equal">
      <formula>"E trebuie să fie cel puțin egal cu C+VP"</formula>
    </cfRule>
    <cfRule type="cellIs" dxfId="8" priority="21" operator="equal">
      <formula>"Corect"</formula>
    </cfRule>
  </conditionalFormatting>
  <conditionalFormatting sqref="U170:V170">
    <cfRule type="cellIs" dxfId="7" priority="2" operator="equal">
      <formula>"Nu corespunde cu tabelul de opționale"</formula>
    </cfRule>
    <cfRule type="cellIs" dxfId="6" priority="3" operator="equal">
      <formula>"Suma trebuie să fie 52"</formula>
    </cfRule>
    <cfRule type="cellIs" dxfId="5" priority="4" operator="equal">
      <formula>"Corect"</formula>
    </cfRule>
    <cfRule type="cellIs" dxfId="4" priority="5" operator="equal">
      <formula>SUM($B$28:$J$28)</formula>
    </cfRule>
    <cfRule type="cellIs" dxfId="3" priority="6" operator="lessThan">
      <formula>"(SUM(B28:K28)=52"</formula>
    </cfRule>
    <cfRule type="cellIs" dxfId="2" priority="7" operator="equal">
      <formula>52</formula>
    </cfRule>
    <cfRule type="cellIs" dxfId="1" priority="8" operator="equal">
      <formula>$K$28</formula>
    </cfRule>
    <cfRule type="cellIs" dxfId="0" priority="9" operator="equal">
      <formula>$B$28:$K$28=52</formula>
    </cfRule>
  </conditionalFormatting>
  <dataValidations disablePrompts="1" count="7">
    <dataValidation type="list" allowBlank="1" showInputMessage="1" showErrorMessage="1" sqref="R182:R183 R61:R64 R40:R43 R84:R86 R188 R88:R90 R49:R53 R185:R186 R179:R180 R70:R74" xr:uid="{00000000-0002-0000-0000-000000000000}">
      <formula1>$R$39</formula1>
    </dataValidation>
    <dataValidation type="list" allowBlank="1" showInputMessage="1" showErrorMessage="1" sqref="Q182:Q183 Q61:Q64 Q40:Q43 Q84:Q86 Q188 Q88:Q90 Q49:Q53 Q185:Q186 Q179:Q180 Q70:Q74" xr:uid="{00000000-0002-0000-0000-000001000000}">
      <formula1>$Q$39</formula1>
    </dataValidation>
    <dataValidation type="list" allowBlank="1" showInputMessage="1" showErrorMessage="1" sqref="S182:S183 S61:S64 S49:S53 S40:S43 S88:S90 S84:S86 S188 S185:S186 S179:S180 S70:S74" xr:uid="{00000000-0002-0000-0000-000002000000}">
      <formula1>$S$39</formula1>
    </dataValidation>
    <dataValidation type="list" allowBlank="1" showInputMessage="1" showErrorMessage="1" sqref="T61:T64 T70:T74 T129:T131 T134:T137 T40:T43 T84:T86 T88:T90 T154 T49:T53 T114:T116 T103:T111 T150:T151" xr:uid="{00000000-0002-0000-0000-000003000000}">
      <formula1>$O$36:$S$36</formula1>
    </dataValidation>
    <dataValidation type="list" allowBlank="1" showInputMessage="1" showErrorMessage="1" sqref="T132 T112 T152" xr:uid="{00000000-0002-0000-0000-000004000000}">
      <formula1>$P$36:$S$36</formula1>
    </dataValidation>
    <dataValidation type="list" allowBlank="1" showInputMessage="1" showErrorMessage="1" sqref="B129:I131 B154:I154 B106:I111 B134:I137 B103:I104 B150:I151" xr:uid="{00000000-0002-0000-0000-000005000000}">
      <formula1>$B$38:$B$95</formula1>
    </dataValidation>
    <dataValidation type="list" allowBlank="1" showInputMessage="1" showErrorMessage="1" sqref="B105:I105" xr:uid="{00000000-0002-0000-0000-000006000000}">
      <formula1>$B$38:$B$94</formula1>
    </dataValidation>
  </dataValidations>
  <pageMargins left="0.7" right="0.7" top="0.75" bottom="0.75" header="0.3" footer="0.3"/>
  <pageSetup paperSize="9" orientation="landscape" blackAndWhite="1" r:id="rId1"/>
  <headerFooter>
    <oddHeader>&amp;C
&amp;R&amp;P</oddHeader>
    <oddFooter>&amp;LRECTOR,
Acad.Prof.univ.dr. Ioan Aurel POP&amp;CDECAN,
Prof. univ. dr. Adrian-Olimpiu PETRUȘEL&amp;R                                           DIRECTOR DE DEPARTAMENT,
Conf. univ. dr. ANDRÁS Szilárd-Károly</oddFooter>
  </headerFooter>
  <ignoredErrors>
    <ignoredError sqref="Q44" formula="1"/>
    <ignoredError sqref="K9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436C8AF41D44994AA64A6708AB5AD" ma:contentTypeVersion="0" ma:contentTypeDescription="Create a new document." ma:contentTypeScope="" ma:versionID="1e145a0201785cf80eb881b8ccf1c55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47E3DA-5698-49A4-92EA-B6C4521E51D0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74A77A7-DC83-4E34-9D15-05A91D4343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54E7A1D-D733-4215-B5BA-4564572BE7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Ady-PC</cp:lastModifiedBy>
  <cp:lastPrinted>2017-11-13T09:25:13Z</cp:lastPrinted>
  <dcterms:created xsi:type="dcterms:W3CDTF">2013-06-27T08:19:59Z</dcterms:created>
  <dcterms:modified xsi:type="dcterms:W3CDTF">2019-04-24T07:28:08Z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0x010100DBA436C8AF41D44994AA64A6708AB5AD</vt:lpwstr>
  </property>
</Properties>
</file>