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D:\Plan_Invatamant_2018\MASTER_2018\Matematica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U68" i="1" l="1"/>
  <c r="Y3" i="1"/>
  <c r="L91" i="1" l="1"/>
  <c r="M91" i="1"/>
  <c r="K91" i="1"/>
  <c r="S90" i="1"/>
  <c r="R90" i="1"/>
  <c r="Q90" i="1"/>
  <c r="K90" i="1"/>
  <c r="L90" i="1"/>
  <c r="M90" i="1"/>
  <c r="J90" i="1"/>
  <c r="U6" i="1" l="1"/>
  <c r="U5" i="1"/>
  <c r="U4" i="1"/>
  <c r="U3" i="1"/>
  <c r="P70" i="1" l="1"/>
  <c r="T75" i="1" l="1"/>
  <c r="N70" i="1" l="1"/>
  <c r="O70" i="1" s="1"/>
  <c r="T65" i="1" l="1"/>
  <c r="T54" i="1" l="1"/>
  <c r="T44" i="1"/>
  <c r="M186" i="1" l="1"/>
  <c r="L186" i="1"/>
  <c r="K186" i="1"/>
  <c r="S185" i="1"/>
  <c r="R185" i="1"/>
  <c r="Q185" i="1"/>
  <c r="M185" i="1"/>
  <c r="L185" i="1"/>
  <c r="K185" i="1"/>
  <c r="J185" i="1"/>
  <c r="P181" i="1"/>
  <c r="N181" i="1"/>
  <c r="P175" i="1"/>
  <c r="N175" i="1"/>
  <c r="P179" i="1"/>
  <c r="N179" i="1"/>
  <c r="P182" i="1"/>
  <c r="N182" i="1"/>
  <c r="P178" i="1"/>
  <c r="N178" i="1"/>
  <c r="P176" i="1"/>
  <c r="N176" i="1"/>
  <c r="O179" i="1" l="1"/>
  <c r="N185" i="1"/>
  <c r="P185" i="1"/>
  <c r="N186" i="1"/>
  <c r="P186" i="1"/>
  <c r="K187" i="1"/>
  <c r="O181" i="1"/>
  <c r="O175" i="1"/>
  <c r="O182" i="1"/>
  <c r="O176" i="1"/>
  <c r="O178" i="1"/>
  <c r="O186" i="1" l="1"/>
  <c r="N187" i="1" s="1"/>
  <c r="O185" i="1"/>
  <c r="U29" i="1" l="1"/>
  <c r="U28" i="1"/>
  <c r="P89" i="1" l="1"/>
  <c r="N89" i="1"/>
  <c r="P88" i="1"/>
  <c r="N88" i="1"/>
  <c r="P74" i="1"/>
  <c r="P73" i="1"/>
  <c r="P72" i="1"/>
  <c r="P71" i="1"/>
  <c r="O88" i="1" l="1"/>
  <c r="O89" i="1"/>
  <c r="S150" i="1"/>
  <c r="R150" i="1"/>
  <c r="Q150" i="1"/>
  <c r="P150" i="1"/>
  <c r="M150" i="1"/>
  <c r="L150" i="1"/>
  <c r="K150" i="1"/>
  <c r="J150" i="1"/>
  <c r="A150" i="1"/>
  <c r="S147" i="1"/>
  <c r="R147" i="1"/>
  <c r="Q147" i="1"/>
  <c r="M147" i="1"/>
  <c r="L147" i="1"/>
  <c r="K147" i="1"/>
  <c r="J147" i="1"/>
  <c r="A147" i="1"/>
  <c r="S134" i="1"/>
  <c r="R134" i="1"/>
  <c r="Q134" i="1"/>
  <c r="P134" i="1"/>
  <c r="O134" i="1"/>
  <c r="N134" i="1"/>
  <c r="M134" i="1"/>
  <c r="L134" i="1"/>
  <c r="K134" i="1"/>
  <c r="J134" i="1"/>
  <c r="A134" i="1"/>
  <c r="S133" i="1"/>
  <c r="R133" i="1"/>
  <c r="Q133" i="1"/>
  <c r="P133" i="1"/>
  <c r="M133" i="1"/>
  <c r="L133" i="1"/>
  <c r="K133" i="1"/>
  <c r="J133" i="1"/>
  <c r="A133" i="1"/>
  <c r="S132" i="1"/>
  <c r="R132" i="1"/>
  <c r="Q132" i="1"/>
  <c r="P132" i="1"/>
  <c r="M132" i="1"/>
  <c r="L132" i="1"/>
  <c r="K132" i="1"/>
  <c r="J132" i="1"/>
  <c r="A132" i="1"/>
  <c r="S131" i="1"/>
  <c r="R131" i="1"/>
  <c r="Q131" i="1"/>
  <c r="M131" i="1"/>
  <c r="L131" i="1"/>
  <c r="K131" i="1"/>
  <c r="J131" i="1"/>
  <c r="A131" i="1"/>
  <c r="S128" i="1"/>
  <c r="R128" i="1"/>
  <c r="Q128" i="1"/>
  <c r="M128" i="1"/>
  <c r="L128" i="1"/>
  <c r="K128" i="1"/>
  <c r="J128" i="1"/>
  <c r="A128" i="1"/>
  <c r="S127" i="1"/>
  <c r="R127" i="1"/>
  <c r="Q127" i="1"/>
  <c r="M127" i="1"/>
  <c r="L127" i="1"/>
  <c r="K127" i="1"/>
  <c r="J127" i="1"/>
  <c r="A127" i="1"/>
  <c r="S126" i="1"/>
  <c r="R126" i="1"/>
  <c r="Q126" i="1"/>
  <c r="M126" i="1"/>
  <c r="L126" i="1"/>
  <c r="K126" i="1"/>
  <c r="J126" i="1"/>
  <c r="A126" i="1"/>
  <c r="S113" i="1"/>
  <c r="R113" i="1"/>
  <c r="Q113" i="1"/>
  <c r="M113" i="1"/>
  <c r="L113" i="1"/>
  <c r="K113" i="1"/>
  <c r="J113" i="1"/>
  <c r="A113" i="1"/>
  <c r="S110" i="1" l="1"/>
  <c r="R110" i="1"/>
  <c r="Q110" i="1"/>
  <c r="M110" i="1"/>
  <c r="L110" i="1"/>
  <c r="K110" i="1"/>
  <c r="J110" i="1"/>
  <c r="A110" i="1"/>
  <c r="S109" i="1"/>
  <c r="R109" i="1"/>
  <c r="Q109" i="1"/>
  <c r="M109" i="1"/>
  <c r="L109" i="1"/>
  <c r="K109" i="1"/>
  <c r="J109" i="1"/>
  <c r="A109" i="1"/>
  <c r="S108" i="1"/>
  <c r="R108" i="1"/>
  <c r="Q108" i="1"/>
  <c r="M108" i="1"/>
  <c r="L108" i="1"/>
  <c r="K108" i="1"/>
  <c r="J108" i="1"/>
  <c r="A108" i="1"/>
  <c r="S107" i="1"/>
  <c r="R107" i="1"/>
  <c r="Q107" i="1"/>
  <c r="M107" i="1"/>
  <c r="L107" i="1"/>
  <c r="K107" i="1"/>
  <c r="J107" i="1"/>
  <c r="A107" i="1"/>
  <c r="S106" i="1"/>
  <c r="R106" i="1"/>
  <c r="Q106" i="1"/>
  <c r="M106" i="1"/>
  <c r="L106" i="1"/>
  <c r="K106" i="1"/>
  <c r="J106" i="1"/>
  <c r="A106" i="1"/>
  <c r="S105" i="1"/>
  <c r="R105" i="1"/>
  <c r="Q105" i="1"/>
  <c r="M105" i="1"/>
  <c r="L105" i="1"/>
  <c r="K105" i="1"/>
  <c r="J105" i="1"/>
  <c r="A105" i="1"/>
  <c r="S104" i="1"/>
  <c r="R104" i="1"/>
  <c r="Q104" i="1"/>
  <c r="M104" i="1"/>
  <c r="L104" i="1"/>
  <c r="K104" i="1"/>
  <c r="J104" i="1"/>
  <c r="A104" i="1"/>
  <c r="S103" i="1"/>
  <c r="R103" i="1"/>
  <c r="Q103" i="1"/>
  <c r="M103" i="1"/>
  <c r="L103" i="1"/>
  <c r="K103" i="1"/>
  <c r="J103" i="1"/>
  <c r="A103" i="1"/>
  <c r="S102" i="1"/>
  <c r="R102" i="1"/>
  <c r="Q102" i="1"/>
  <c r="M102" i="1"/>
  <c r="L102" i="1"/>
  <c r="K102" i="1"/>
  <c r="J102" i="1"/>
  <c r="A102" i="1"/>
  <c r="N43" i="1" l="1"/>
  <c r="N103" i="1" s="1"/>
  <c r="P43" i="1"/>
  <c r="P103" i="1" s="1"/>
  <c r="S151" i="1"/>
  <c r="R151" i="1"/>
  <c r="Q151" i="1"/>
  <c r="M151" i="1"/>
  <c r="L151" i="1"/>
  <c r="K151" i="1"/>
  <c r="J151" i="1"/>
  <c r="S148" i="1"/>
  <c r="R148" i="1"/>
  <c r="Q148" i="1"/>
  <c r="M148" i="1"/>
  <c r="L148" i="1"/>
  <c r="K148" i="1"/>
  <c r="J148" i="1"/>
  <c r="S135" i="1"/>
  <c r="R135" i="1"/>
  <c r="Q135" i="1"/>
  <c r="M135" i="1"/>
  <c r="L135" i="1"/>
  <c r="K135" i="1"/>
  <c r="J135" i="1"/>
  <c r="S129" i="1"/>
  <c r="R129" i="1"/>
  <c r="Q129" i="1"/>
  <c r="M129" i="1"/>
  <c r="L129" i="1"/>
  <c r="K129" i="1"/>
  <c r="J129" i="1"/>
  <c r="S114" i="1"/>
  <c r="R114" i="1"/>
  <c r="Q114" i="1"/>
  <c r="M114" i="1"/>
  <c r="L114" i="1"/>
  <c r="K114" i="1"/>
  <c r="J114" i="1"/>
  <c r="P87" i="1"/>
  <c r="N84" i="1"/>
  <c r="N85" i="1"/>
  <c r="P53" i="1"/>
  <c r="P128" i="1" s="1"/>
  <c r="N53" i="1"/>
  <c r="N128" i="1" s="1"/>
  <c r="N87" i="1"/>
  <c r="P85" i="1"/>
  <c r="P84" i="1"/>
  <c r="S75" i="1"/>
  <c r="R75" i="1"/>
  <c r="Q75" i="1"/>
  <c r="M75" i="1"/>
  <c r="L75" i="1"/>
  <c r="K75" i="1"/>
  <c r="J75" i="1"/>
  <c r="N74" i="1"/>
  <c r="N73" i="1"/>
  <c r="N132" i="1" s="1"/>
  <c r="N72" i="1"/>
  <c r="N71" i="1"/>
  <c r="N150" i="1" s="1"/>
  <c r="S65" i="1"/>
  <c r="R65" i="1"/>
  <c r="Q65" i="1"/>
  <c r="M65" i="1"/>
  <c r="L65" i="1"/>
  <c r="K65" i="1"/>
  <c r="J65" i="1"/>
  <c r="P64" i="1"/>
  <c r="P110" i="1" s="1"/>
  <c r="N64" i="1"/>
  <c r="N110" i="1" s="1"/>
  <c r="P63" i="1"/>
  <c r="P109" i="1" s="1"/>
  <c r="N63" i="1"/>
  <c r="N109" i="1" s="1"/>
  <c r="P62" i="1"/>
  <c r="P108" i="1" s="1"/>
  <c r="N62" i="1"/>
  <c r="N108" i="1" s="1"/>
  <c r="P61" i="1"/>
  <c r="N61" i="1"/>
  <c r="N107" i="1" s="1"/>
  <c r="S54" i="1"/>
  <c r="R54" i="1"/>
  <c r="Q54" i="1"/>
  <c r="M54" i="1"/>
  <c r="L54" i="1"/>
  <c r="K54" i="1"/>
  <c r="J54" i="1"/>
  <c r="P52" i="1"/>
  <c r="N52" i="1"/>
  <c r="P51" i="1"/>
  <c r="P106" i="1" s="1"/>
  <c r="N51" i="1"/>
  <c r="N106" i="1" s="1"/>
  <c r="P50" i="1"/>
  <c r="P105" i="1" s="1"/>
  <c r="N50" i="1"/>
  <c r="N105" i="1" s="1"/>
  <c r="P49" i="1"/>
  <c r="N49" i="1"/>
  <c r="N42" i="1"/>
  <c r="N102" i="1" s="1"/>
  <c r="N41" i="1"/>
  <c r="N40" i="1"/>
  <c r="K44" i="1"/>
  <c r="P42" i="1"/>
  <c r="P102" i="1" s="1"/>
  <c r="P41" i="1"/>
  <c r="S44" i="1"/>
  <c r="R44" i="1"/>
  <c r="Q44" i="1"/>
  <c r="P40" i="1"/>
  <c r="M44" i="1"/>
  <c r="L44" i="1"/>
  <c r="J44" i="1"/>
  <c r="N133" i="1" l="1"/>
  <c r="N127" i="1"/>
  <c r="P127" i="1"/>
  <c r="P147" i="1"/>
  <c r="P148" i="1" s="1"/>
  <c r="P104" i="1"/>
  <c r="N147" i="1"/>
  <c r="N104" i="1"/>
  <c r="P107" i="1"/>
  <c r="N90" i="1"/>
  <c r="N91" i="1"/>
  <c r="J166" i="1" s="1"/>
  <c r="P91" i="1"/>
  <c r="P90" i="1"/>
  <c r="O84" i="1"/>
  <c r="U75" i="1"/>
  <c r="U54" i="1"/>
  <c r="R165" i="1"/>
  <c r="R167" i="1" s="1"/>
  <c r="U44" i="1"/>
  <c r="N65" i="1"/>
  <c r="S165" i="1"/>
  <c r="S167" i="1" s="1"/>
  <c r="U65" i="1"/>
  <c r="O85" i="1"/>
  <c r="S136" i="1"/>
  <c r="P65" i="1"/>
  <c r="O50" i="1"/>
  <c r="O105" i="1" s="1"/>
  <c r="O51" i="1"/>
  <c r="O106" i="1" s="1"/>
  <c r="O52" i="1"/>
  <c r="O63" i="1"/>
  <c r="O109" i="1" s="1"/>
  <c r="O64" i="1"/>
  <c r="O110" i="1" s="1"/>
  <c r="O87" i="1"/>
  <c r="M136" i="1"/>
  <c r="L152" i="1"/>
  <c r="J136" i="1"/>
  <c r="L136" i="1"/>
  <c r="Q136" i="1"/>
  <c r="K137" i="1"/>
  <c r="M137" i="1"/>
  <c r="R136" i="1"/>
  <c r="M153" i="1"/>
  <c r="R152" i="1"/>
  <c r="N131" i="1"/>
  <c r="N126" i="1"/>
  <c r="N113" i="1"/>
  <c r="N114" i="1" s="1"/>
  <c r="P54" i="1"/>
  <c r="O71" i="1"/>
  <c r="O150" i="1" s="1"/>
  <c r="O73" i="1"/>
  <c r="O132" i="1" s="1"/>
  <c r="P151" i="1"/>
  <c r="P131" i="1"/>
  <c r="P135" i="1" s="1"/>
  <c r="P126" i="1"/>
  <c r="P113" i="1"/>
  <c r="P114" i="1" s="1"/>
  <c r="L137" i="1"/>
  <c r="O43" i="1"/>
  <c r="O103" i="1" s="1"/>
  <c r="N44" i="1"/>
  <c r="O40" i="1"/>
  <c r="J152" i="1"/>
  <c r="L153" i="1"/>
  <c r="Q152" i="1"/>
  <c r="S152" i="1"/>
  <c r="M111" i="1"/>
  <c r="M115" i="1" s="1"/>
  <c r="K111" i="1"/>
  <c r="K115" i="1" s="1"/>
  <c r="R111" i="1"/>
  <c r="R115" i="1" s="1"/>
  <c r="L111" i="1"/>
  <c r="L115" i="1" s="1"/>
  <c r="Q111" i="1"/>
  <c r="Q115" i="1" s="1"/>
  <c r="S111" i="1"/>
  <c r="S115" i="1" s="1"/>
  <c r="O61" i="1"/>
  <c r="J111" i="1"/>
  <c r="J115" i="1" s="1"/>
  <c r="O42" i="1"/>
  <c r="O102" i="1" s="1"/>
  <c r="N75" i="1"/>
  <c r="P44" i="1"/>
  <c r="O49" i="1"/>
  <c r="O41" i="1"/>
  <c r="N54" i="1"/>
  <c r="O62" i="1"/>
  <c r="O108" i="1" s="1"/>
  <c r="O72" i="1"/>
  <c r="O74" i="1"/>
  <c r="O53" i="1"/>
  <c r="O128" i="1" s="1"/>
  <c r="K92" i="1"/>
  <c r="P75" i="1"/>
  <c r="K136" i="1"/>
  <c r="M152" i="1"/>
  <c r="K153" i="1"/>
  <c r="K152" i="1"/>
  <c r="N135" i="1" l="1"/>
  <c r="O133" i="1"/>
  <c r="O127" i="1"/>
  <c r="N151" i="1"/>
  <c r="O147" i="1"/>
  <c r="O104" i="1"/>
  <c r="O107" i="1"/>
  <c r="O91" i="1"/>
  <c r="N148" i="1"/>
  <c r="O90" i="1"/>
  <c r="J165" i="1"/>
  <c r="H166" i="1"/>
  <c r="P129" i="1"/>
  <c r="K154" i="1"/>
  <c r="K138" i="1"/>
  <c r="P152" i="1"/>
  <c r="P111" i="1"/>
  <c r="P116" i="1" s="1"/>
  <c r="P153" i="1"/>
  <c r="K116" i="1"/>
  <c r="O126" i="1"/>
  <c r="O131" i="1"/>
  <c r="O113" i="1"/>
  <c r="O114" i="1" s="1"/>
  <c r="N129" i="1"/>
  <c r="N111" i="1"/>
  <c r="N115" i="1" s="1"/>
  <c r="M116" i="1"/>
  <c r="L116" i="1"/>
  <c r="O54" i="1"/>
  <c r="O44" i="1"/>
  <c r="O75" i="1"/>
  <c r="O65" i="1"/>
  <c r="N152" i="1" l="1"/>
  <c r="O135" i="1"/>
  <c r="N153" i="1"/>
  <c r="O151" i="1"/>
  <c r="O148" i="1"/>
  <c r="N92" i="1"/>
  <c r="L166" i="1"/>
  <c r="N166" i="1" s="1"/>
  <c r="U166" i="1" s="1"/>
  <c r="L165" i="1"/>
  <c r="L167" i="1" s="1"/>
  <c r="P115" i="1"/>
  <c r="H165" i="1"/>
  <c r="J167" i="1"/>
  <c r="O129" i="1"/>
  <c r="P137" i="1"/>
  <c r="P136" i="1"/>
  <c r="K117" i="1"/>
  <c r="O111" i="1"/>
  <c r="O116" i="1" s="1"/>
  <c r="N137" i="1"/>
  <c r="N136" i="1"/>
  <c r="N116" i="1"/>
  <c r="O136" i="1" l="1"/>
  <c r="O152" i="1"/>
  <c r="O153" i="1"/>
  <c r="N154" i="1" s="1"/>
  <c r="N117" i="1"/>
  <c r="N165" i="1"/>
  <c r="N167" i="1" s="1"/>
  <c r="H167" i="1"/>
  <c r="P166" i="1" s="1"/>
  <c r="O115" i="1"/>
  <c r="O137" i="1"/>
  <c r="N138" i="1" s="1"/>
  <c r="P165" i="1" l="1"/>
  <c r="P167" i="1" s="1"/>
</calcChain>
</file>

<file path=xl/sharedStrings.xml><?xml version="1.0" encoding="utf-8"?>
<sst xmlns="http://schemas.openxmlformats.org/spreadsheetml/2006/main" count="412" uniqueCount="161">
  <si>
    <t xml:space="preserve">UNIVERSITATEA BABEŞ-BOLYAI CLUJ-NAPOCA
</t>
  </si>
  <si>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</si>
  <si>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</si>
  <si>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</si>
  <si>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</si>
  <si>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</si>
  <si>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</si>
  <si>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</si>
  <si>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</si>
  <si>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</si>
  <si>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</si>
  <si>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</si>
  <si>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</si>
  <si>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</si>
  <si>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</si>
  <si>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</si>
  <si>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</si>
  <si>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</si>
  <si>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</si>
  <si>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</si>
  <si>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</si>
  <si>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</si>
  <si>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</si>
  <si>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</si>
  <si>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</si>
  <si>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</si>
  <si>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</si>
  <si>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</si>
  <si>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</si>
  <si>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</si>
  <si>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LP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</si>
  <si>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</si>
  <si>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</si>
  <si>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</si>
  <si>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</si>
  <si>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</si>
  <si>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</si>
  <si>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</si>
  <si>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</si>
  <si>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</si>
  <si>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</si>
  <si>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</si>
  <si>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</si>
  <si>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</si>
  <si>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</si>
  <si>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</si>
  <si>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</si>
  <si>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</si>
  <si>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</si>
  <si>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</si>
  <si>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</si>
  <si>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</si>
  <si>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</si>
  <si>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</si>
  <si>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</si>
  <si>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</si>
  <si>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</si>
  <si>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</si>
  <si>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</si>
  <si>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</si>
  <si>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</si>
  <si>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</si>
  <si>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</si>
  <si>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</si>
  <si>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</si>
  <si>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</si>
  <si>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</t>
    </r>
  </si>
  <si>
    <t>DISCIPLINE COMPLEMENTARE (DC)</t>
  </si>
  <si>
    <t>XND 1101</t>
  </si>
  <si>
    <t>XND 1102</t>
  </si>
  <si>
    <t>XND 1203</t>
  </si>
  <si>
    <t>XND 1204</t>
  </si>
  <si>
    <t>Examen de absolvire: Nivelul II</t>
  </si>
  <si>
    <t xml:space="preserve">TOTAL CREDITE / ORE PE SĂPTĂMÂNĂ / EVALUĂRI </t>
  </si>
  <si>
    <t xml:space="preserve">PROGRAM DE STUDII PSIHOPEDAGOGICE </t>
  </si>
  <si>
    <t>An I, Semestrul 1</t>
  </si>
  <si>
    <t>An I, Semestrul 2</t>
  </si>
  <si>
    <t>An II, Semestrul 3</t>
  </si>
  <si>
    <t>An II, Semestrul 4</t>
  </si>
  <si>
    <t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</t>
  </si>
  <si>
    <t>MODUL PEDAGOCIC - Nivelul II: 30 de credite ECTS  + 5 credite ECTS aferente examenului de absolvire</t>
  </si>
  <si>
    <t>Psihopedagogia adolescenţilor, tinerilor şi adulţilor</t>
  </si>
  <si>
    <t>Proiectarea şi managementul programelor educaţionale</t>
  </si>
  <si>
    <t>DP</t>
  </si>
  <si>
    <t>DO</t>
  </si>
  <si>
    <t xml:space="preserve">Practică pedagogică (în învăţământul liceal, postliceal şi universitar)
</t>
  </si>
  <si>
    <t>XND 2305</t>
  </si>
  <si>
    <t>XND 2306</t>
  </si>
  <si>
    <t>DF – Discipline de extensie a pregătirii psihopedagogice fundamentale (obligatorii)</t>
  </si>
  <si>
    <t>DP – Discipline de extensie a pregătirii didactice şi practice de specialitate (obligatorii)</t>
  </si>
  <si>
    <t xml:space="preserve">DO - Discipline opţionale </t>
  </si>
  <si>
    <t>Verificați standardele specifice domeniului dumneavoastră pentru a evita incongruențele.</t>
  </si>
  <si>
    <t>ÎN TOATE TABELELE DIN ACEASTĂ MACHETĂ, TREBUIE SĂ INTRODUCEȚI  DATE NUMAI ÎN CELULELE MARCATE CU GALBEN</t>
  </si>
  <si>
    <t>Tabelele/rândurile necompletate se șterg sau se ascund (dacă afectează formulele) HIDE</t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</si>
  <si>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
</t>
    </r>
  </si>
  <si>
    <t>Didactica domeniului şi dezvoltăriI în didactica specialităţii (învăţământ liceal, postliceal, universitar)</t>
  </si>
  <si>
    <t>Disciplină opțională 1</t>
  </si>
  <si>
    <t>Disciplină opțională 2</t>
  </si>
  <si>
    <t>PLAN DE ÎNVĂŢĂMÂNT  valabil începând din anul universitar 2018-2019</t>
  </si>
  <si>
    <t>Titlul absolventului: MASTER</t>
  </si>
  <si>
    <t>DA</t>
  </si>
  <si>
    <t>DSIN</t>
  </si>
  <si>
    <t>DISCIPLINE DE SPECIALITATE  (DS)</t>
  </si>
  <si>
    <t>În contul a cel mult 3 discipline opţionale generale, studentul are dreptul să aleagă 3 discipline de la alte specializări ale facultăţilor din Universitatea „Babeş-Bolyai”, respectând condiționările din planurile de învățământ ale respectivelor specializări.</t>
  </si>
  <si>
    <r>
      <t>12</t>
    </r>
    <r>
      <rPr>
        <b/>
        <sz val="10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de credite la disciplinele opţionale;</t>
    </r>
  </si>
  <si>
    <r>
      <rPr>
        <b/>
        <sz val="10"/>
        <color indexed="8"/>
        <rFont val="Times New Roman"/>
        <family val="1"/>
      </rPr>
      <t xml:space="preserve">108 </t>
    </r>
    <r>
      <rPr>
        <sz val="10"/>
        <color indexed="8"/>
        <rFont val="Times New Roman"/>
        <family val="1"/>
      </rPr>
      <t>de credite la disciplinele obligatorii;</t>
    </r>
  </si>
  <si>
    <t>MMM3088</t>
  </si>
  <si>
    <t>Capitole speciale de didactică modernă I .</t>
  </si>
  <si>
    <t>MMM3034</t>
  </si>
  <si>
    <t>Inegalități geometrice</t>
  </si>
  <si>
    <t>MMM3085</t>
  </si>
  <si>
    <t>Analiza fenomenelor stocastice</t>
  </si>
  <si>
    <t>MMM3012</t>
  </si>
  <si>
    <t>Aspecte metodice în analiza elementară I</t>
  </si>
  <si>
    <t>MMM3089</t>
  </si>
  <si>
    <t>Numere complexe şi aplicaţii în geometrie</t>
  </si>
  <si>
    <t>MMM3124</t>
  </si>
  <si>
    <t>Aspecte metodice în predarea algebrei</t>
  </si>
  <si>
    <t>MMM3097</t>
  </si>
  <si>
    <t>Matematică discretă</t>
  </si>
  <si>
    <t>MMM3402</t>
  </si>
  <si>
    <t>Elaborarea lucrării de disertaţie</t>
  </si>
  <si>
    <t>MMX4601</t>
  </si>
  <si>
    <t>Curs opţional 1</t>
  </si>
  <si>
    <t>MMM9012</t>
  </si>
  <si>
    <t>Practică în specialitate</t>
  </si>
  <si>
    <t>MME3125</t>
  </si>
  <si>
    <t>Șiruri recurente (lb. de predare engleză)</t>
  </si>
  <si>
    <t>MMM3033</t>
  </si>
  <si>
    <t>Construcții geometrice</t>
  </si>
  <si>
    <t>MME3057</t>
  </si>
  <si>
    <t>Instruire asistată de calculator (lb. de predare engleză)</t>
  </si>
  <si>
    <t>MMM3093</t>
  </si>
  <si>
    <t>Aspecte metodice în analiza elementară II</t>
  </si>
  <si>
    <t>MMM3037</t>
  </si>
  <si>
    <t>Teoreme clasice în geometria elementară</t>
  </si>
  <si>
    <t>MMM3058</t>
  </si>
  <si>
    <t>Capitole speciale de didactică matematică II</t>
  </si>
  <si>
    <t>MMM3069</t>
  </si>
  <si>
    <t>Matematică aplicată în liceu</t>
  </si>
  <si>
    <t>MMX4602</t>
  </si>
  <si>
    <t>Curs opţional 2</t>
  </si>
  <si>
    <t>MMM3091</t>
  </si>
  <si>
    <t>Metodologia rezolvării problemelor de matematică</t>
  </si>
  <si>
    <t>MMM3063</t>
  </si>
  <si>
    <t>Metode alternative în predarea matematicii</t>
  </si>
  <si>
    <t>MMM3013</t>
  </si>
  <si>
    <t>Rolul contraexemplelor în predarea analizei matematice</t>
  </si>
  <si>
    <t>MMM3126</t>
  </si>
  <si>
    <t>Evaluarea cunoștințelor matematice în gimnaziu și liceu</t>
  </si>
  <si>
    <t>MMM3079</t>
  </si>
  <si>
    <t>Metodologia rezolvarii problemelor de informatica</t>
  </si>
  <si>
    <t>CURS OPȚIONAL 2 (An II, Semestrul 4)- (MMX4602)</t>
  </si>
  <si>
    <t>CURS OPȚIONAL 1 (An I, Semestrul 2) - (MMX4601)</t>
  </si>
  <si>
    <t>Sem. 2: Se alege  o disciplină din pachetul: MMX4601</t>
  </si>
  <si>
    <t>Sem. 4: Se alege  o disciplină din pachetul: MMX4602</t>
  </si>
  <si>
    <r>
      <rPr>
        <b/>
        <sz val="10"/>
        <color indexed="8"/>
        <rFont val="Times New Roman"/>
        <family val="1"/>
      </rPr>
      <t>VI.  UNIVERSITĂŢI EUROPENE DE REFERINŢĂ:</t>
    </r>
    <r>
      <rPr>
        <sz val="10"/>
        <color indexed="8"/>
        <rFont val="Times New Roman"/>
        <family val="1"/>
      </rPr>
      <t xml:space="preserve">
Planul de învăţământ urmează în proporţie de 60% planurile de învăţământ ale………………………….…………..……..
Universității din Antwerpen  ....................................…...
Universității din Copenhaga...............................……….. 
Universității din Twente....................…………………….. 
………………………………...........................................…..
……………............................................……………………..                                                                                                ……………............................................…………………….. </t>
    </r>
  </si>
  <si>
    <t>FACULTATEA DE MATEMATICĂ ȘI INFORMATICĂ</t>
  </si>
  <si>
    <t>Domeniul:  MATEMATICĂ</t>
  </si>
  <si>
    <t>Specializarea/Programul de studiu: MATEMATICĂ DIDACTICĂ</t>
  </si>
  <si>
    <t>Limba de predare: MAGHIARĂ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</si>
</sst>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color indexed="8"/>
      <name val="Arial"/>
    </font>
    <font>
      <sz val="10"/>
      <color indexed="8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23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" fontId="11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6" fillId="3" borderId="1" xfId="1" applyFont="1" applyFill="1" applyBorder="1" applyAlignment="1" applyProtection="1">
      <alignment horizontal="left" vertical="center"/>
      <protection locked="0"/>
    </xf>
    <xf numFmtId="0" fontId="16" fillId="3" borderId="1" xfId="1" applyFont="1" applyFill="1" applyBorder="1" applyAlignment="1" applyProtection="1">
      <alignment horizontal="center" vertical="center"/>
      <protection locked="0"/>
    </xf>
    <xf numFmtId="0" fontId="16" fillId="3" borderId="1" xfId="2" applyFont="1" applyFill="1" applyBorder="1" applyAlignment="1" applyProtection="1">
      <alignment horizontal="left" vertical="center"/>
      <protection locked="0"/>
    </xf>
    <xf numFmtId="0" fontId="16" fillId="3" borderId="1" xfId="2" applyFont="1" applyFill="1" applyBorder="1" applyAlignment="1" applyProtection="1">
      <alignment horizontal="center" vertical="center"/>
      <protection locked="0"/>
    </xf>
    <xf numFmtId="1" fontId="16" fillId="3" borderId="1" xfId="1" applyNumberFormat="1" applyFont="1" applyFill="1" applyBorder="1" applyAlignment="1" applyProtection="1">
      <alignment horizontal="left" vertical="center"/>
      <protection locked="0"/>
    </xf>
    <xf numFmtId="1" fontId="16" fillId="3" borderId="2" xfId="1" applyNumberFormat="1" applyFont="1" applyFill="1" applyBorder="1" applyAlignment="1" applyProtection="1">
      <alignment horizontal="left" vertical="center"/>
      <protection locked="0"/>
    </xf>
    <xf numFmtId="1" fontId="16" fillId="3" borderId="5" xfId="1" applyNumberFormat="1" applyFont="1" applyFill="1" applyBorder="1" applyAlignment="1" applyProtection="1">
      <alignment horizontal="left" vertical="center"/>
      <protection locked="0"/>
    </xf>
    <xf numFmtId="1" fontId="16" fillId="3" borderId="6" xfId="1" applyNumberFormat="1" applyFont="1" applyFill="1" applyBorder="1" applyAlignment="1" applyProtection="1">
      <alignment horizontal="left" vertical="center"/>
      <protection locked="0"/>
    </xf>
    <xf numFmtId="0" fontId="16" fillId="3" borderId="2" xfId="1" applyFont="1" applyFill="1" applyBorder="1" applyAlignment="1" applyProtection="1">
      <alignment horizontal="left" vertical="center"/>
      <protection locked="0"/>
    </xf>
    <xf numFmtId="0" fontId="16" fillId="3" borderId="5" xfId="1" applyFont="1" applyFill="1" applyBorder="1" applyAlignment="1" applyProtection="1">
      <alignment horizontal="left" vertical="center"/>
      <protection locked="0"/>
    </xf>
    <xf numFmtId="0" fontId="16" fillId="3" borderId="6" xfId="1" applyFont="1" applyFill="1" applyBorder="1" applyAlignment="1" applyProtection="1">
      <alignment horizontal="left" vertical="center"/>
      <protection locked="0"/>
    </xf>
    <xf numFmtId="1" fontId="16" fillId="3" borderId="2" xfId="1" applyNumberFormat="1" applyFont="1" applyFill="1" applyBorder="1" applyAlignment="1" applyProtection="1">
      <alignment horizontal="left" vertical="center"/>
      <protection locked="0"/>
    </xf>
    <xf numFmtId="1" fontId="16" fillId="3" borderId="5" xfId="1" applyNumberFormat="1" applyFont="1" applyFill="1" applyBorder="1" applyAlignment="1" applyProtection="1">
      <alignment horizontal="left" vertical="center"/>
      <protection locked="0"/>
    </xf>
    <xf numFmtId="1" fontId="16" fillId="3" borderId="6" xfId="1" applyNumberFormat="1" applyFont="1" applyFill="1" applyBorder="1" applyAlignment="1" applyProtection="1">
      <alignment horizontal="left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16" fillId="3" borderId="2" xfId="2" applyFont="1" applyFill="1" applyBorder="1" applyAlignment="1" applyProtection="1">
      <alignment horizontal="left" vertical="center"/>
      <protection locked="0"/>
    </xf>
    <xf numFmtId="0" fontId="16" fillId="3" borderId="5" xfId="2" applyFont="1" applyFill="1" applyBorder="1" applyAlignment="1" applyProtection="1">
      <alignment horizontal="left" vertical="center"/>
      <protection locked="0"/>
    </xf>
    <xf numFmtId="0" fontId="16" fillId="3" borderId="6" xfId="2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2" fillId="5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4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1" fillId="4" borderId="14" xfId="0" applyFont="1" applyFill="1" applyBorder="1" applyAlignment="1" applyProtection="1">
      <alignment wrapText="1"/>
    </xf>
    <xf numFmtId="0" fontId="1" fillId="4" borderId="0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</xf>
    <xf numFmtId="0" fontId="12" fillId="6" borderId="0" xfId="0" applyFont="1" applyFill="1" applyAlignment="1" applyProtection="1">
      <alignment vertical="center" wrapText="1"/>
      <protection locked="0"/>
    </xf>
    <xf numFmtId="0" fontId="13" fillId="6" borderId="0" xfId="0" applyFont="1" applyFill="1" applyAlignment="1">
      <alignment vertical="center" wrapText="1"/>
    </xf>
    <xf numFmtId="0" fontId="13" fillId="0" borderId="0" xfId="0" applyFont="1" applyAlignment="1"/>
    <xf numFmtId="0" fontId="2" fillId="7" borderId="0" xfId="0" applyFont="1" applyFill="1" applyAlignment="1" applyProtection="1">
      <alignment horizontal="left" vertical="top" wrapText="1"/>
      <protection locked="0"/>
    </xf>
    <xf numFmtId="0" fontId="12" fillId="7" borderId="0" xfId="0" applyFont="1" applyFill="1" applyAlignment="1" applyProtection="1">
      <alignment wrapText="1"/>
      <protection locked="0"/>
    </xf>
    <xf numFmtId="0" fontId="0" fillId="7" borderId="0" xfId="0" applyFill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 applyProtection="1">
      <protection locked="0"/>
    </xf>
    <xf numFmtId="0" fontId="0" fillId="0" borderId="0" xfId="0" applyAlignment="1"/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8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8" borderId="0" xfId="0" applyFont="1" applyFill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8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8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left" vertical="center"/>
      <protection locked="0"/>
    </xf>
    <xf numFmtId="1" fontId="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" fillId="5" borderId="5" xfId="0" applyNumberFormat="1" applyFont="1" applyFill="1" applyBorder="1" applyAlignment="1" applyProtection="1">
      <alignment horizontal="left" vertical="center"/>
      <protection locked="0"/>
    </xf>
    <xf numFmtId="1" fontId="1" fillId="5" borderId="6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/>
    <xf numFmtId="0" fontId="10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2" fillId="5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4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2" fillId="5" borderId="11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8" xfId="0" applyFont="1" applyFill="1" applyBorder="1" applyAlignment="1" applyProtection="1">
      <alignment horizontal="left" vertical="center" wrapText="1"/>
    </xf>
    <xf numFmtId="2" fontId="1" fillId="5" borderId="9" xfId="0" applyNumberFormat="1" applyFont="1" applyFill="1" applyBorder="1" applyAlignment="1" applyProtection="1">
      <alignment horizontal="center" vertical="center"/>
    </xf>
    <xf numFmtId="2" fontId="1" fillId="5" borderId="4" xfId="0" applyNumberFormat="1" applyFont="1" applyFill="1" applyBorder="1" applyAlignment="1" applyProtection="1">
      <alignment horizontal="center" vertical="center"/>
    </xf>
    <xf numFmtId="2" fontId="1" fillId="5" borderId="10" xfId="0" applyNumberFormat="1" applyFont="1" applyFill="1" applyBorder="1" applyAlignment="1" applyProtection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</xf>
    <xf numFmtId="2" fontId="1" fillId="5" borderId="7" xfId="0" applyNumberFormat="1" applyFont="1" applyFill="1" applyBorder="1" applyAlignment="1" applyProtection="1">
      <alignment horizontal="center" vertical="center"/>
    </xf>
    <xf numFmtId="2" fontId="1" fillId="5" borderId="8" xfId="0" applyNumberFormat="1" applyFont="1" applyFill="1" applyBorder="1" applyAlignment="1" applyProtection="1">
      <alignment horizontal="center" vertical="center"/>
    </xf>
    <xf numFmtId="1" fontId="2" fillId="5" borderId="2" xfId="0" applyNumberFormat="1" applyFont="1" applyFill="1" applyBorder="1" applyAlignment="1" applyProtection="1">
      <alignment horizontal="center" vertical="center"/>
    </xf>
    <xf numFmtId="1" fontId="2" fillId="5" borderId="5" xfId="0" applyNumberFormat="1" applyFont="1" applyFill="1" applyBorder="1" applyAlignment="1" applyProtection="1">
      <alignment horizontal="center" vertical="center"/>
    </xf>
    <xf numFmtId="1" fontId="2" fillId="5" borderId="6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ál_MateDidMagh" xfId="2"/>
    <cellStyle name="Normál_Sheet1" xfId="1"/>
  </cellStyles>
  <dxfs count="24"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6"/>
  <sheetViews>
    <sheetView tabSelected="1" view="pageLayout" topLeftCell="A22" zoomScaleNormal="100" workbookViewId="0">
      <selection activeCell="U69" sqref="U69"/>
    </sheetView>
  </sheetViews>
  <sheetFormatPr defaultRowHeight="12.75" x14ac:dyDescent="0.2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5.5703125" style="1" customWidth="1"/>
    <col min="14" max="18" width="6" style="1" customWidth="1"/>
    <col min="19" max="19" width="6.140625" style="1" customWidth="1"/>
    <col min="20" max="20" width="9.28515625" style="1" customWidth="1"/>
    <col min="21" max="26" width="9.140625" style="1"/>
    <col min="27" max="27" width="11" style="1" customWidth="1"/>
    <col min="28" max="16384" width="9.140625" style="1"/>
  </cols>
  <sheetData>
    <row r="1" spans="1:28" ht="15.75" customHeight="1" x14ac:dyDescent="0.2">
      <c r="A1" s="77" t="s">
        <v>98</v>
      </c>
      <c r="B1" s="77"/>
      <c r="C1" s="77"/>
      <c r="D1" s="77"/>
      <c r="E1" s="77"/>
      <c r="F1" s="77"/>
      <c r="G1" s="77"/>
      <c r="H1" s="77"/>
      <c r="I1" s="77"/>
      <c r="J1" s="77"/>
      <c r="K1" s="77"/>
      <c r="M1" s="168" t="s">
        <v>19</v>
      </c>
      <c r="N1" s="168"/>
      <c r="O1" s="168"/>
      <c r="P1" s="168"/>
      <c r="Q1" s="168"/>
      <c r="R1" s="168"/>
      <c r="S1" s="168"/>
      <c r="T1" s="168"/>
    </row>
    <row r="2" spans="1:28" ht="6.75" customHeight="1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28" ht="39" customHeight="1" x14ac:dyDescent="0.2">
      <c r="A3" s="167" t="s">
        <v>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M3" s="171"/>
      <c r="N3" s="172"/>
      <c r="O3" s="151" t="s">
        <v>35</v>
      </c>
      <c r="P3" s="152"/>
      <c r="Q3" s="153"/>
      <c r="R3" s="151" t="s">
        <v>36</v>
      </c>
      <c r="S3" s="152"/>
      <c r="T3" s="153"/>
      <c r="U3" s="133" t="str">
        <f>IF(O4&gt;=12,"Corect","Trebuie alocate cel puțin 12 de ore pe săptămână")</f>
        <v>Corect</v>
      </c>
      <c r="V3" s="134"/>
      <c r="W3" s="134"/>
      <c r="X3" s="134"/>
      <c r="Y3" s="1">
        <f>63*14+23*12</f>
        <v>1158</v>
      </c>
    </row>
    <row r="4" spans="1:28" ht="17.25" customHeight="1" x14ac:dyDescent="0.2">
      <c r="A4" s="169" t="s">
        <v>157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M4" s="163" t="s">
        <v>14</v>
      </c>
      <c r="N4" s="164"/>
      <c r="O4" s="160">
        <v>20</v>
      </c>
      <c r="P4" s="161"/>
      <c r="Q4" s="162"/>
      <c r="R4" s="160">
        <v>23</v>
      </c>
      <c r="S4" s="161"/>
      <c r="T4" s="162"/>
      <c r="U4" s="133" t="str">
        <f>IF(R4&gt;=12,"Corect","Trebuie alocate cel puțin 12 de ore pe săptămână")</f>
        <v>Corect</v>
      </c>
      <c r="V4" s="134"/>
      <c r="W4" s="134"/>
      <c r="X4" s="134"/>
    </row>
    <row r="5" spans="1:28" ht="16.5" customHeight="1" x14ac:dyDescent="0.2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M5" s="163" t="s">
        <v>15</v>
      </c>
      <c r="N5" s="164"/>
      <c r="O5" s="160">
        <v>20</v>
      </c>
      <c r="P5" s="161"/>
      <c r="Q5" s="162"/>
      <c r="R5" s="160">
        <v>23</v>
      </c>
      <c r="S5" s="161"/>
      <c r="T5" s="162"/>
      <c r="U5" s="133" t="str">
        <f>IF(O5&gt;=12,"Corect","Trebuie alocate cel puțin 12 de ore pe săptămână")</f>
        <v>Corect</v>
      </c>
      <c r="V5" s="134"/>
      <c r="W5" s="134"/>
      <c r="X5" s="134"/>
    </row>
    <row r="6" spans="1:28" ht="15" customHeight="1" x14ac:dyDescent="0.2">
      <c r="A6" s="159" t="s">
        <v>158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M6" s="165"/>
      <c r="N6" s="165"/>
      <c r="O6" s="146"/>
      <c r="P6" s="146"/>
      <c r="Q6" s="146"/>
      <c r="R6" s="146"/>
      <c r="S6" s="146"/>
      <c r="T6" s="146"/>
      <c r="U6" s="133" t="str">
        <f>IF(R5&gt;=12,"Corect","Trebuie alocate cel puțin 12 de ore pe săptămână")</f>
        <v>Corect</v>
      </c>
      <c r="V6" s="134"/>
      <c r="W6" s="134"/>
      <c r="X6" s="134"/>
    </row>
    <row r="7" spans="1:28" ht="18" customHeight="1" x14ac:dyDescent="0.2">
      <c r="A7" s="166" t="s">
        <v>159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</row>
    <row r="8" spans="1:28" ht="18.75" customHeight="1" x14ac:dyDescent="0.2">
      <c r="A8" s="148" t="s">
        <v>160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M8" s="147" t="s">
        <v>94</v>
      </c>
      <c r="N8" s="147"/>
      <c r="O8" s="147"/>
      <c r="P8" s="147"/>
      <c r="Q8" s="147"/>
      <c r="R8" s="147"/>
      <c r="S8" s="147"/>
      <c r="T8" s="147"/>
    </row>
    <row r="9" spans="1:28" ht="15" customHeight="1" x14ac:dyDescent="0.2">
      <c r="A9" s="158" t="s">
        <v>99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M9" s="147"/>
      <c r="N9" s="147"/>
      <c r="O9" s="147"/>
      <c r="P9" s="147"/>
      <c r="Q9" s="147"/>
      <c r="R9" s="147"/>
      <c r="S9" s="147"/>
      <c r="T9" s="147"/>
      <c r="U9" s="136" t="s">
        <v>91</v>
      </c>
      <c r="V9" s="137"/>
      <c r="W9" s="137"/>
      <c r="X9" s="138"/>
      <c r="Y9" s="138"/>
      <c r="Z9" s="138"/>
      <c r="AA9" s="51"/>
    </row>
    <row r="10" spans="1:28" ht="16.5" customHeight="1" x14ac:dyDescent="0.2">
      <c r="A10" s="158" t="s">
        <v>60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M10" s="147"/>
      <c r="N10" s="147"/>
      <c r="O10" s="147"/>
      <c r="P10" s="147"/>
      <c r="Q10" s="147"/>
      <c r="R10" s="147"/>
      <c r="S10" s="147"/>
      <c r="T10" s="147"/>
      <c r="U10" s="137"/>
      <c r="V10" s="137"/>
      <c r="W10" s="137"/>
      <c r="X10" s="138"/>
      <c r="Y10" s="138"/>
      <c r="Z10" s="138"/>
      <c r="AA10" s="51"/>
    </row>
    <row r="11" spans="1:28" x14ac:dyDescent="0.2">
      <c r="A11" s="158" t="s">
        <v>17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M11" s="147"/>
      <c r="N11" s="147"/>
      <c r="O11" s="147"/>
      <c r="P11" s="147"/>
      <c r="Q11" s="147"/>
      <c r="R11" s="147"/>
      <c r="S11" s="147"/>
      <c r="T11" s="147"/>
      <c r="U11" s="137"/>
      <c r="V11" s="137"/>
      <c r="W11" s="137"/>
      <c r="X11" s="138"/>
      <c r="Y11" s="138"/>
      <c r="Z11" s="138"/>
      <c r="AA11" s="51"/>
    </row>
    <row r="12" spans="1:28" ht="10.5" customHeight="1" x14ac:dyDescent="0.2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M12" s="2"/>
      <c r="N12" s="2"/>
      <c r="O12" s="2"/>
      <c r="P12" s="2"/>
      <c r="Q12" s="2"/>
      <c r="R12" s="2"/>
      <c r="U12" s="137"/>
      <c r="V12" s="137"/>
      <c r="W12" s="137"/>
      <c r="X12" s="138"/>
      <c r="Y12" s="138"/>
      <c r="Z12" s="138"/>
      <c r="AA12" s="51"/>
    </row>
    <row r="13" spans="1:28" x14ac:dyDescent="0.2">
      <c r="A13" s="155" t="s">
        <v>65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M13" s="157" t="s">
        <v>20</v>
      </c>
      <c r="N13" s="157"/>
      <c r="O13" s="157"/>
      <c r="P13" s="157"/>
      <c r="Q13" s="157"/>
      <c r="R13" s="157"/>
      <c r="S13" s="157"/>
      <c r="T13" s="157"/>
      <c r="U13" s="51"/>
      <c r="V13" s="51"/>
      <c r="W13" s="51"/>
      <c r="X13" s="51"/>
      <c r="Y13" s="51"/>
      <c r="Z13" s="51"/>
      <c r="AA13" s="51"/>
    </row>
    <row r="14" spans="1:28" ht="12.75" customHeight="1" x14ac:dyDescent="0.2">
      <c r="A14" s="155" t="s">
        <v>61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M14" s="145" t="s">
        <v>154</v>
      </c>
      <c r="N14" s="145"/>
      <c r="O14" s="145"/>
      <c r="P14" s="145"/>
      <c r="Q14" s="145"/>
      <c r="R14" s="145"/>
      <c r="S14" s="145"/>
      <c r="T14" s="145"/>
      <c r="U14" s="51"/>
      <c r="V14" s="51"/>
      <c r="W14" s="51"/>
      <c r="X14" s="51"/>
      <c r="Y14" s="51"/>
      <c r="Z14" s="51"/>
      <c r="AA14" s="51"/>
    </row>
    <row r="15" spans="1:28" ht="12.75" customHeight="1" x14ac:dyDescent="0.2">
      <c r="A15" s="148" t="s">
        <v>105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M15" s="145" t="s">
        <v>155</v>
      </c>
      <c r="N15" s="145"/>
      <c r="O15" s="145"/>
      <c r="P15" s="145"/>
      <c r="Q15" s="145"/>
      <c r="R15" s="145"/>
      <c r="S15" s="145"/>
      <c r="T15" s="145"/>
      <c r="U15" s="139" t="s">
        <v>92</v>
      </c>
      <c r="V15" s="139"/>
      <c r="W15" s="139"/>
      <c r="X15" s="139"/>
      <c r="Y15" s="139"/>
      <c r="Z15" s="139"/>
      <c r="AA15" s="51"/>
    </row>
    <row r="16" spans="1:28" ht="12.75" customHeight="1" x14ac:dyDescent="0.25">
      <c r="A16" s="148" t="s">
        <v>104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M16" s="145"/>
      <c r="N16" s="145"/>
      <c r="O16" s="145"/>
      <c r="P16" s="145"/>
      <c r="Q16" s="145"/>
      <c r="R16" s="145"/>
      <c r="S16" s="145"/>
      <c r="T16" s="145"/>
      <c r="U16" s="139"/>
      <c r="V16" s="139"/>
      <c r="W16" s="139"/>
      <c r="X16" s="139"/>
      <c r="Y16" s="139"/>
      <c r="Z16" s="139"/>
      <c r="AA16" s="143"/>
      <c r="AB16" s="144"/>
    </row>
    <row r="17" spans="1:27" ht="12.75" customHeight="1" x14ac:dyDescent="0.2">
      <c r="A17" s="158" t="s">
        <v>1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M17" s="156"/>
      <c r="N17" s="156"/>
      <c r="O17" s="156"/>
      <c r="P17" s="156"/>
      <c r="Q17" s="156"/>
      <c r="R17" s="156"/>
      <c r="S17" s="156"/>
      <c r="T17" s="156"/>
      <c r="U17" s="139"/>
      <c r="V17" s="139"/>
      <c r="W17" s="139"/>
      <c r="X17" s="139"/>
      <c r="Y17" s="139"/>
      <c r="Z17" s="139"/>
      <c r="AA17" s="51"/>
    </row>
    <row r="18" spans="1:27" ht="14.25" customHeight="1" x14ac:dyDescent="0.2">
      <c r="A18" s="158" t="s">
        <v>66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M18" s="156"/>
      <c r="N18" s="156"/>
      <c r="O18" s="156"/>
      <c r="P18" s="156"/>
      <c r="Q18" s="156"/>
      <c r="R18" s="156"/>
      <c r="S18" s="156"/>
      <c r="T18" s="156"/>
      <c r="U18" s="51"/>
      <c r="V18" s="51"/>
      <c r="W18" s="51"/>
      <c r="X18" s="51"/>
      <c r="Y18" s="51"/>
      <c r="Z18" s="51"/>
      <c r="AA18" s="51"/>
    </row>
    <row r="19" spans="1:27" x14ac:dyDescent="0.2">
      <c r="A19" s="158"/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M19" s="156"/>
      <c r="N19" s="156"/>
      <c r="O19" s="156"/>
      <c r="P19" s="156"/>
      <c r="Q19" s="156"/>
      <c r="R19" s="156"/>
      <c r="S19" s="156"/>
      <c r="T19" s="156"/>
      <c r="U19" s="51"/>
      <c r="V19" s="51"/>
      <c r="W19" s="51"/>
      <c r="X19" s="51"/>
      <c r="Y19" s="51"/>
      <c r="Z19" s="51"/>
      <c r="AA19" s="51"/>
    </row>
    <row r="20" spans="1:27" ht="7.5" customHeight="1" x14ac:dyDescent="0.2">
      <c r="A20" s="147" t="s">
        <v>79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M20" s="2"/>
      <c r="N20" s="2"/>
      <c r="O20" s="2"/>
      <c r="P20" s="2"/>
      <c r="Q20" s="2"/>
      <c r="R20" s="2"/>
      <c r="U20" s="140" t="s">
        <v>93</v>
      </c>
      <c r="V20" s="141"/>
      <c r="W20" s="141"/>
      <c r="X20" s="141"/>
      <c r="Y20" s="141"/>
      <c r="Z20" s="141"/>
      <c r="AA20" s="142"/>
    </row>
    <row r="21" spans="1:27" ht="15" customHeight="1" x14ac:dyDescent="0.2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M21" s="150" t="s">
        <v>103</v>
      </c>
      <c r="N21" s="150"/>
      <c r="O21" s="150"/>
      <c r="P21" s="150"/>
      <c r="Q21" s="150"/>
      <c r="R21" s="150"/>
      <c r="S21" s="150"/>
      <c r="T21" s="150"/>
      <c r="U21" s="142"/>
      <c r="V21" s="142"/>
      <c r="W21" s="142"/>
      <c r="X21" s="142"/>
      <c r="Y21" s="142"/>
      <c r="Z21" s="142"/>
      <c r="AA21" s="142"/>
    </row>
    <row r="22" spans="1:27" ht="15" customHeight="1" x14ac:dyDescent="0.2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M22" s="150"/>
      <c r="N22" s="150"/>
      <c r="O22" s="150"/>
      <c r="P22" s="150"/>
      <c r="Q22" s="150"/>
      <c r="R22" s="150"/>
      <c r="S22" s="150"/>
      <c r="T22" s="150"/>
      <c r="U22" s="142"/>
      <c r="V22" s="142"/>
      <c r="W22" s="142"/>
      <c r="X22" s="142"/>
      <c r="Y22" s="142"/>
      <c r="Z22" s="142"/>
      <c r="AA22" s="142"/>
    </row>
    <row r="23" spans="1:27" ht="24" customHeight="1" x14ac:dyDescent="0.2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M23" s="150"/>
      <c r="N23" s="150"/>
      <c r="O23" s="150"/>
      <c r="P23" s="150"/>
      <c r="Q23" s="150"/>
      <c r="R23" s="150"/>
      <c r="S23" s="150"/>
      <c r="T23" s="150"/>
      <c r="U23" s="142"/>
      <c r="V23" s="142"/>
      <c r="W23" s="142"/>
      <c r="X23" s="142"/>
      <c r="Y23" s="142"/>
      <c r="Z23" s="142"/>
      <c r="AA23" s="142"/>
    </row>
    <row r="24" spans="1:27" ht="13.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M24" s="3"/>
      <c r="N24" s="3"/>
      <c r="O24" s="3"/>
      <c r="P24" s="3"/>
      <c r="Q24" s="3"/>
      <c r="R24" s="3"/>
    </row>
    <row r="25" spans="1:27" x14ac:dyDescent="0.2">
      <c r="A25" s="154" t="s">
        <v>16</v>
      </c>
      <c r="B25" s="154"/>
      <c r="C25" s="154"/>
      <c r="D25" s="154"/>
      <c r="E25" s="154"/>
      <c r="F25" s="154"/>
      <c r="G25" s="154"/>
      <c r="M25" s="149" t="s">
        <v>156</v>
      </c>
      <c r="N25" s="149"/>
      <c r="O25" s="149"/>
      <c r="P25" s="149"/>
      <c r="Q25" s="149"/>
      <c r="R25" s="149"/>
      <c r="S25" s="149"/>
      <c r="T25" s="149"/>
    </row>
    <row r="26" spans="1:27" ht="26.25" customHeight="1" x14ac:dyDescent="0.2">
      <c r="A26" s="4"/>
      <c r="B26" s="151" t="s">
        <v>2</v>
      </c>
      <c r="C26" s="153"/>
      <c r="D26" s="151" t="s">
        <v>3</v>
      </c>
      <c r="E26" s="152"/>
      <c r="F26" s="153"/>
      <c r="G26" s="80" t="s">
        <v>18</v>
      </c>
      <c r="H26" s="80" t="s">
        <v>10</v>
      </c>
      <c r="I26" s="151" t="s">
        <v>4</v>
      </c>
      <c r="J26" s="152"/>
      <c r="K26" s="153"/>
      <c r="M26" s="149"/>
      <c r="N26" s="149"/>
      <c r="O26" s="149"/>
      <c r="P26" s="149"/>
      <c r="Q26" s="149"/>
      <c r="R26" s="149"/>
      <c r="S26" s="149"/>
      <c r="T26" s="149"/>
    </row>
    <row r="27" spans="1:27" ht="14.25" customHeight="1" x14ac:dyDescent="0.2">
      <c r="A27" s="4"/>
      <c r="B27" s="5" t="s">
        <v>5</v>
      </c>
      <c r="C27" s="5" t="s">
        <v>6</v>
      </c>
      <c r="D27" s="5" t="s">
        <v>7</v>
      </c>
      <c r="E27" s="5" t="s">
        <v>8</v>
      </c>
      <c r="F27" s="5" t="s">
        <v>9</v>
      </c>
      <c r="G27" s="81"/>
      <c r="H27" s="81"/>
      <c r="I27" s="5" t="s">
        <v>11</v>
      </c>
      <c r="J27" s="5" t="s">
        <v>12</v>
      </c>
      <c r="K27" s="5" t="s">
        <v>13</v>
      </c>
      <c r="M27" s="149"/>
      <c r="N27" s="149"/>
      <c r="O27" s="149"/>
      <c r="P27" s="149"/>
      <c r="Q27" s="149"/>
      <c r="R27" s="149"/>
      <c r="S27" s="149"/>
      <c r="T27" s="149"/>
    </row>
    <row r="28" spans="1:27" ht="17.25" customHeight="1" x14ac:dyDescent="0.2">
      <c r="A28" s="6" t="s">
        <v>14</v>
      </c>
      <c r="B28" s="7">
        <v>14</v>
      </c>
      <c r="C28" s="7">
        <v>14</v>
      </c>
      <c r="D28" s="26">
        <v>3</v>
      </c>
      <c r="E28" s="26">
        <v>3</v>
      </c>
      <c r="F28" s="26">
        <v>2</v>
      </c>
      <c r="G28" s="26"/>
      <c r="H28" s="40"/>
      <c r="I28" s="26">
        <v>3</v>
      </c>
      <c r="J28" s="26">
        <v>1</v>
      </c>
      <c r="K28" s="26">
        <v>12</v>
      </c>
      <c r="M28" s="149"/>
      <c r="N28" s="149"/>
      <c r="O28" s="149"/>
      <c r="P28" s="149"/>
      <c r="Q28" s="149"/>
      <c r="R28" s="149"/>
      <c r="S28" s="149"/>
      <c r="T28" s="149"/>
      <c r="U28" s="135" t="str">
        <f t="shared" ref="U28" si="0">IF(SUM(B28:K28)=52,"Corect","Suma trebuie să fie 52")</f>
        <v>Corect</v>
      </c>
      <c r="V28" s="135"/>
    </row>
    <row r="29" spans="1:27" ht="15" customHeight="1" x14ac:dyDescent="0.2">
      <c r="A29" s="6" t="s">
        <v>15</v>
      </c>
      <c r="B29" s="7">
        <v>14</v>
      </c>
      <c r="C29" s="7">
        <v>12</v>
      </c>
      <c r="D29" s="26">
        <v>3</v>
      </c>
      <c r="E29" s="26">
        <v>3</v>
      </c>
      <c r="F29" s="26">
        <v>2</v>
      </c>
      <c r="G29" s="26">
        <v>2</v>
      </c>
      <c r="H29" s="26"/>
      <c r="I29" s="26">
        <v>3</v>
      </c>
      <c r="J29" s="26">
        <v>1</v>
      </c>
      <c r="K29" s="26">
        <v>12</v>
      </c>
      <c r="M29" s="149"/>
      <c r="N29" s="149"/>
      <c r="O29" s="149"/>
      <c r="P29" s="149"/>
      <c r="Q29" s="149"/>
      <c r="R29" s="149"/>
      <c r="S29" s="149"/>
      <c r="T29" s="149"/>
      <c r="U29" s="135" t="str">
        <f t="shared" ref="U29" si="1">IF(SUM(B29:K29)=52,"Corect","Suma trebuie să fie 52")</f>
        <v>Corect</v>
      </c>
      <c r="V29" s="135"/>
    </row>
    <row r="30" spans="1:27" ht="15.75" customHeight="1" x14ac:dyDescent="0.2">
      <c r="A30" s="35"/>
      <c r="B30" s="33"/>
      <c r="C30" s="33"/>
      <c r="D30" s="33"/>
      <c r="E30" s="33"/>
      <c r="F30" s="33"/>
      <c r="G30" s="33"/>
      <c r="H30" s="33"/>
      <c r="I30" s="33"/>
      <c r="J30" s="33"/>
      <c r="K30" s="36"/>
      <c r="M30" s="149"/>
      <c r="N30" s="149"/>
      <c r="O30" s="149"/>
      <c r="P30" s="149"/>
      <c r="Q30" s="149"/>
      <c r="R30" s="149"/>
      <c r="S30" s="149"/>
      <c r="T30" s="149"/>
    </row>
    <row r="31" spans="1:27" ht="21" customHeight="1" x14ac:dyDescent="0.2">
      <c r="A31" s="34"/>
      <c r="B31" s="34"/>
      <c r="C31" s="34"/>
      <c r="D31" s="34"/>
      <c r="E31" s="34"/>
      <c r="F31" s="34"/>
      <c r="G31" s="34"/>
      <c r="M31" s="149"/>
      <c r="N31" s="149"/>
      <c r="O31" s="149"/>
      <c r="P31" s="149"/>
      <c r="Q31" s="149"/>
      <c r="R31" s="149"/>
      <c r="S31" s="149"/>
      <c r="T31" s="149"/>
    </row>
    <row r="32" spans="1:27" ht="15" customHeight="1" x14ac:dyDescent="0.2">
      <c r="B32" s="2"/>
      <c r="C32" s="2"/>
      <c r="D32" s="2"/>
      <c r="E32" s="2"/>
      <c r="F32" s="2"/>
      <c r="G32" s="2"/>
      <c r="M32" s="8"/>
      <c r="N32" s="8"/>
      <c r="O32" s="8"/>
      <c r="P32" s="8"/>
      <c r="Q32" s="8"/>
      <c r="R32" s="8"/>
      <c r="S32" s="8"/>
    </row>
    <row r="33" spans="1:23" x14ac:dyDescent="0.2">
      <c r="B33" s="8"/>
      <c r="C33" s="8"/>
      <c r="D33" s="8"/>
      <c r="E33" s="8"/>
      <c r="F33" s="8"/>
      <c r="G33" s="8"/>
      <c r="M33" s="8"/>
      <c r="N33" s="8"/>
      <c r="O33" s="8"/>
      <c r="P33" s="8"/>
      <c r="Q33" s="8"/>
      <c r="R33" s="8"/>
      <c r="S33" s="8"/>
    </row>
    <row r="35" spans="1:23" ht="20.25" customHeight="1" x14ac:dyDescent="0.2">
      <c r="A35" s="170" t="s">
        <v>21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</row>
    <row r="36" spans="1:23" ht="20.25" hidden="1" customHeight="1" x14ac:dyDescent="0.2">
      <c r="N36" s="9"/>
      <c r="O36" s="10" t="s">
        <v>37</v>
      </c>
      <c r="P36" s="10" t="s">
        <v>38</v>
      </c>
      <c r="Q36" s="10" t="s">
        <v>39</v>
      </c>
      <c r="R36" s="10" t="s">
        <v>100</v>
      </c>
      <c r="S36" s="10" t="s">
        <v>101</v>
      </c>
      <c r="T36" s="10"/>
    </row>
    <row r="37" spans="1:23" ht="20.25" customHeight="1" x14ac:dyDescent="0.2">
      <c r="A37" s="79" t="s">
        <v>42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</row>
    <row r="38" spans="1:23" ht="27.75" customHeight="1" x14ac:dyDescent="0.2">
      <c r="A38" s="89" t="s">
        <v>27</v>
      </c>
      <c r="B38" s="91" t="s">
        <v>26</v>
      </c>
      <c r="C38" s="92"/>
      <c r="D38" s="92"/>
      <c r="E38" s="92"/>
      <c r="F38" s="92"/>
      <c r="G38" s="92"/>
      <c r="H38" s="92"/>
      <c r="I38" s="93"/>
      <c r="J38" s="80" t="s">
        <v>40</v>
      </c>
      <c r="K38" s="82" t="s">
        <v>24</v>
      </c>
      <c r="L38" s="83"/>
      <c r="M38" s="84"/>
      <c r="N38" s="82" t="s">
        <v>41</v>
      </c>
      <c r="O38" s="86"/>
      <c r="P38" s="87"/>
      <c r="Q38" s="82" t="s">
        <v>23</v>
      </c>
      <c r="R38" s="83"/>
      <c r="S38" s="84"/>
      <c r="T38" s="88" t="s">
        <v>22</v>
      </c>
    </row>
    <row r="39" spans="1:23" ht="20.25" customHeight="1" x14ac:dyDescent="0.2">
      <c r="A39" s="90"/>
      <c r="B39" s="94"/>
      <c r="C39" s="95"/>
      <c r="D39" s="95"/>
      <c r="E39" s="95"/>
      <c r="F39" s="95"/>
      <c r="G39" s="95"/>
      <c r="H39" s="95"/>
      <c r="I39" s="96"/>
      <c r="J39" s="81"/>
      <c r="K39" s="5" t="s">
        <v>28</v>
      </c>
      <c r="L39" s="5" t="s">
        <v>29</v>
      </c>
      <c r="M39" s="5" t="s">
        <v>30</v>
      </c>
      <c r="N39" s="5" t="s">
        <v>34</v>
      </c>
      <c r="O39" s="5" t="s">
        <v>7</v>
      </c>
      <c r="P39" s="5" t="s">
        <v>31</v>
      </c>
      <c r="Q39" s="5" t="s">
        <v>32</v>
      </c>
      <c r="R39" s="5" t="s">
        <v>28</v>
      </c>
      <c r="S39" s="5" t="s">
        <v>33</v>
      </c>
      <c r="T39" s="81"/>
    </row>
    <row r="40" spans="1:23" ht="20.25" customHeight="1" x14ac:dyDescent="0.2">
      <c r="A40" s="54" t="s">
        <v>106</v>
      </c>
      <c r="B40" s="62" t="s">
        <v>107</v>
      </c>
      <c r="C40" s="63"/>
      <c r="D40" s="63"/>
      <c r="E40" s="63"/>
      <c r="F40" s="63"/>
      <c r="G40" s="63"/>
      <c r="H40" s="63"/>
      <c r="I40" s="64"/>
      <c r="J40" s="11">
        <v>8</v>
      </c>
      <c r="K40" s="11">
        <v>2</v>
      </c>
      <c r="L40" s="11">
        <v>1</v>
      </c>
      <c r="M40" s="11">
        <v>2</v>
      </c>
      <c r="N40" s="19">
        <f>K40+L40+M40</f>
        <v>5</v>
      </c>
      <c r="O40" s="20">
        <f>P40-N40</f>
        <v>9</v>
      </c>
      <c r="P40" s="20">
        <f>ROUND(PRODUCT(J40,25)/14,0)</f>
        <v>14</v>
      </c>
      <c r="Q40" s="25"/>
      <c r="R40" s="11"/>
      <c r="S40" s="26" t="s">
        <v>33</v>
      </c>
      <c r="T40" s="11" t="s">
        <v>38</v>
      </c>
    </row>
    <row r="41" spans="1:23" ht="20.25" customHeight="1" x14ac:dyDescent="0.2">
      <c r="A41" s="54" t="s">
        <v>108</v>
      </c>
      <c r="B41" s="62" t="s">
        <v>109</v>
      </c>
      <c r="C41" s="63"/>
      <c r="D41" s="63"/>
      <c r="E41" s="63"/>
      <c r="F41" s="63"/>
      <c r="G41" s="63"/>
      <c r="H41" s="63"/>
      <c r="I41" s="64"/>
      <c r="J41" s="11">
        <v>8</v>
      </c>
      <c r="K41" s="11">
        <v>2</v>
      </c>
      <c r="L41" s="11">
        <v>1</v>
      </c>
      <c r="M41" s="11">
        <v>2</v>
      </c>
      <c r="N41" s="19">
        <f t="shared" ref="N41:N43" si="2">K41+L41+M41</f>
        <v>5</v>
      </c>
      <c r="O41" s="20">
        <f t="shared" ref="O41:O43" si="3">P41-N41</f>
        <v>9</v>
      </c>
      <c r="P41" s="20">
        <f t="shared" ref="P41:P43" si="4">ROUND(PRODUCT(J41,25)/14,0)</f>
        <v>14</v>
      </c>
      <c r="Q41" s="25" t="s">
        <v>32</v>
      </c>
      <c r="R41" s="11"/>
      <c r="S41" s="26"/>
      <c r="T41" s="11" t="s">
        <v>39</v>
      </c>
    </row>
    <row r="42" spans="1:23" ht="20.25" customHeight="1" x14ac:dyDescent="0.2">
      <c r="A42" s="54" t="s">
        <v>110</v>
      </c>
      <c r="B42" s="62" t="s">
        <v>111</v>
      </c>
      <c r="C42" s="63"/>
      <c r="D42" s="63"/>
      <c r="E42" s="63"/>
      <c r="F42" s="63"/>
      <c r="G42" s="63"/>
      <c r="H42" s="63"/>
      <c r="I42" s="64"/>
      <c r="J42" s="11">
        <v>7</v>
      </c>
      <c r="K42" s="11">
        <v>2</v>
      </c>
      <c r="L42" s="11">
        <v>1</v>
      </c>
      <c r="M42" s="11">
        <v>2</v>
      </c>
      <c r="N42" s="19">
        <f t="shared" si="2"/>
        <v>5</v>
      </c>
      <c r="O42" s="20">
        <f t="shared" si="3"/>
        <v>8</v>
      </c>
      <c r="P42" s="20">
        <f t="shared" si="4"/>
        <v>13</v>
      </c>
      <c r="Q42" s="25" t="s">
        <v>32</v>
      </c>
      <c r="R42" s="11"/>
      <c r="S42" s="26"/>
      <c r="T42" s="11" t="s">
        <v>37</v>
      </c>
    </row>
    <row r="43" spans="1:23" ht="20.25" customHeight="1" x14ac:dyDescent="0.2">
      <c r="A43" s="54" t="s">
        <v>112</v>
      </c>
      <c r="B43" s="62" t="s">
        <v>113</v>
      </c>
      <c r="C43" s="63"/>
      <c r="D43" s="63"/>
      <c r="E43" s="63"/>
      <c r="F43" s="63"/>
      <c r="G43" s="63"/>
      <c r="H43" s="63"/>
      <c r="I43" s="64"/>
      <c r="J43" s="11">
        <v>7</v>
      </c>
      <c r="K43" s="11">
        <v>2</v>
      </c>
      <c r="L43" s="11">
        <v>1</v>
      </c>
      <c r="M43" s="11">
        <v>2</v>
      </c>
      <c r="N43" s="19">
        <f t="shared" si="2"/>
        <v>5</v>
      </c>
      <c r="O43" s="20">
        <f t="shared" si="3"/>
        <v>8</v>
      </c>
      <c r="P43" s="20">
        <f t="shared" si="4"/>
        <v>13</v>
      </c>
      <c r="Q43" s="25"/>
      <c r="R43" s="11" t="s">
        <v>28</v>
      </c>
      <c r="S43" s="26"/>
      <c r="T43" s="11" t="s">
        <v>37</v>
      </c>
    </row>
    <row r="44" spans="1:23" x14ac:dyDescent="0.2">
      <c r="A44" s="22" t="s">
        <v>25</v>
      </c>
      <c r="B44" s="98"/>
      <c r="C44" s="99"/>
      <c r="D44" s="99"/>
      <c r="E44" s="99"/>
      <c r="F44" s="99"/>
      <c r="G44" s="99"/>
      <c r="H44" s="99"/>
      <c r="I44" s="100"/>
      <c r="J44" s="22">
        <f t="shared" ref="J44:P44" si="5">SUM(J40:J43)</f>
        <v>30</v>
      </c>
      <c r="K44" s="22">
        <f t="shared" si="5"/>
        <v>8</v>
      </c>
      <c r="L44" s="22">
        <f t="shared" si="5"/>
        <v>4</v>
      </c>
      <c r="M44" s="22">
        <f t="shared" si="5"/>
        <v>8</v>
      </c>
      <c r="N44" s="22">
        <f t="shared" si="5"/>
        <v>20</v>
      </c>
      <c r="O44" s="22">
        <f t="shared" si="5"/>
        <v>34</v>
      </c>
      <c r="P44" s="22">
        <f t="shared" si="5"/>
        <v>54</v>
      </c>
      <c r="Q44" s="22">
        <f>COUNTIF(Q40:Q43,"E")</f>
        <v>2</v>
      </c>
      <c r="R44" s="22">
        <f>COUNTIF(R40:R43,"C")</f>
        <v>1</v>
      </c>
      <c r="S44" s="22">
        <f>COUNTIF(S40:S43,"VP")</f>
        <v>1</v>
      </c>
      <c r="T44" s="53">
        <f>COUNTA(T40:T43)</f>
        <v>4</v>
      </c>
      <c r="U44" s="104" t="str">
        <f>IF(Q44&gt;=SUM(R44:S44),"Corect","E trebuie să fie cel puțin egal cu C+VP")</f>
        <v>Corect</v>
      </c>
      <c r="V44" s="105"/>
      <c r="W44" s="105"/>
    </row>
    <row r="45" spans="1:23" ht="19.5" customHeight="1" x14ac:dyDescent="0.2"/>
    <row r="46" spans="1:23" ht="16.5" customHeight="1" x14ac:dyDescent="0.2">
      <c r="A46" s="79" t="s">
        <v>43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</row>
    <row r="47" spans="1:23" ht="26.25" customHeight="1" x14ac:dyDescent="0.2">
      <c r="A47" s="89" t="s">
        <v>27</v>
      </c>
      <c r="B47" s="91" t="s">
        <v>26</v>
      </c>
      <c r="C47" s="92"/>
      <c r="D47" s="92"/>
      <c r="E47" s="92"/>
      <c r="F47" s="92"/>
      <c r="G47" s="92"/>
      <c r="H47" s="92"/>
      <c r="I47" s="93"/>
      <c r="J47" s="80" t="s">
        <v>40</v>
      </c>
      <c r="K47" s="82" t="s">
        <v>24</v>
      </c>
      <c r="L47" s="83"/>
      <c r="M47" s="84"/>
      <c r="N47" s="82" t="s">
        <v>41</v>
      </c>
      <c r="O47" s="86"/>
      <c r="P47" s="87"/>
      <c r="Q47" s="82" t="s">
        <v>23</v>
      </c>
      <c r="R47" s="83"/>
      <c r="S47" s="84"/>
      <c r="T47" s="88" t="s">
        <v>22</v>
      </c>
    </row>
    <row r="48" spans="1:23" ht="12.75" customHeight="1" x14ac:dyDescent="0.2">
      <c r="A48" s="90"/>
      <c r="B48" s="94"/>
      <c r="C48" s="95"/>
      <c r="D48" s="95"/>
      <c r="E48" s="95"/>
      <c r="F48" s="95"/>
      <c r="G48" s="95"/>
      <c r="H48" s="95"/>
      <c r="I48" s="96"/>
      <c r="J48" s="81"/>
      <c r="K48" s="5" t="s">
        <v>28</v>
      </c>
      <c r="L48" s="5" t="s">
        <v>29</v>
      </c>
      <c r="M48" s="5" t="s">
        <v>30</v>
      </c>
      <c r="N48" s="5" t="s">
        <v>34</v>
      </c>
      <c r="O48" s="5" t="s">
        <v>7</v>
      </c>
      <c r="P48" s="5" t="s">
        <v>31</v>
      </c>
      <c r="Q48" s="5" t="s">
        <v>32</v>
      </c>
      <c r="R48" s="5" t="s">
        <v>28</v>
      </c>
      <c r="S48" s="5" t="s">
        <v>33</v>
      </c>
      <c r="T48" s="81"/>
    </row>
    <row r="49" spans="1:23" x14ac:dyDescent="0.2">
      <c r="A49" s="54" t="s">
        <v>114</v>
      </c>
      <c r="B49" s="62" t="s">
        <v>115</v>
      </c>
      <c r="C49" s="63"/>
      <c r="D49" s="63"/>
      <c r="E49" s="63"/>
      <c r="F49" s="63"/>
      <c r="G49" s="63"/>
      <c r="H49" s="63"/>
      <c r="I49" s="64"/>
      <c r="J49" s="55">
        <v>7</v>
      </c>
      <c r="K49" s="55">
        <v>2</v>
      </c>
      <c r="L49" s="55">
        <v>1</v>
      </c>
      <c r="M49" s="11">
        <v>2</v>
      </c>
      <c r="N49" s="19">
        <f>K49+L49+M49</f>
        <v>5</v>
      </c>
      <c r="O49" s="20">
        <f>P49-N49</f>
        <v>8</v>
      </c>
      <c r="P49" s="20">
        <f>ROUND(PRODUCT(J49,25)/14,0)</f>
        <v>13</v>
      </c>
      <c r="Q49" s="25" t="s">
        <v>32</v>
      </c>
      <c r="R49" s="11" t="s">
        <v>28</v>
      </c>
      <c r="S49" s="26"/>
      <c r="T49" s="11" t="s">
        <v>37</v>
      </c>
    </row>
    <row r="50" spans="1:23" x14ac:dyDescent="0.2">
      <c r="A50" s="54" t="s">
        <v>116</v>
      </c>
      <c r="B50" s="62" t="s">
        <v>117</v>
      </c>
      <c r="C50" s="63"/>
      <c r="D50" s="63"/>
      <c r="E50" s="63"/>
      <c r="F50" s="63"/>
      <c r="G50" s="63"/>
      <c r="H50" s="63"/>
      <c r="I50" s="64"/>
      <c r="J50" s="55">
        <v>6</v>
      </c>
      <c r="K50" s="55">
        <v>2</v>
      </c>
      <c r="L50" s="55">
        <v>1</v>
      </c>
      <c r="M50" s="11">
        <v>2</v>
      </c>
      <c r="N50" s="19">
        <f t="shared" ref="N50:N52" si="6">K50+L50+M50</f>
        <v>5</v>
      </c>
      <c r="O50" s="20">
        <f t="shared" ref="O50:O52" si="7">P50-N50</f>
        <v>6</v>
      </c>
      <c r="P50" s="20">
        <f t="shared" ref="P50:P52" si="8">ROUND(PRODUCT(J50,25)/14,0)</f>
        <v>11</v>
      </c>
      <c r="Q50" s="25" t="s">
        <v>32</v>
      </c>
      <c r="R50" s="11"/>
      <c r="S50" s="26"/>
      <c r="T50" s="11" t="s">
        <v>37</v>
      </c>
    </row>
    <row r="51" spans="1:23" x14ac:dyDescent="0.2">
      <c r="A51" s="54" t="s">
        <v>118</v>
      </c>
      <c r="B51" s="62" t="s">
        <v>119</v>
      </c>
      <c r="C51" s="63"/>
      <c r="D51" s="63"/>
      <c r="E51" s="63"/>
      <c r="F51" s="63"/>
      <c r="G51" s="63"/>
      <c r="H51" s="63"/>
      <c r="I51" s="64"/>
      <c r="J51" s="55">
        <v>7</v>
      </c>
      <c r="K51" s="55">
        <v>2</v>
      </c>
      <c r="L51" s="55">
        <v>1</v>
      </c>
      <c r="M51" s="11">
        <v>2</v>
      </c>
      <c r="N51" s="19">
        <f t="shared" si="6"/>
        <v>5</v>
      </c>
      <c r="O51" s="20">
        <f t="shared" si="7"/>
        <v>8</v>
      </c>
      <c r="P51" s="20">
        <f t="shared" si="8"/>
        <v>13</v>
      </c>
      <c r="Q51" s="25" t="s">
        <v>32</v>
      </c>
      <c r="R51" s="11"/>
      <c r="S51" s="26"/>
      <c r="T51" s="11" t="s">
        <v>37</v>
      </c>
    </row>
    <row r="52" spans="1:23" x14ac:dyDescent="0.2">
      <c r="A52" s="56" t="s">
        <v>124</v>
      </c>
      <c r="B52" s="74" t="s">
        <v>125</v>
      </c>
      <c r="C52" s="75"/>
      <c r="D52" s="75"/>
      <c r="E52" s="75"/>
      <c r="F52" s="75"/>
      <c r="G52" s="75"/>
      <c r="H52" s="75"/>
      <c r="I52" s="76"/>
      <c r="J52" s="57">
        <v>4</v>
      </c>
      <c r="K52" s="55">
        <v>0</v>
      </c>
      <c r="L52" s="55">
        <v>0</v>
      </c>
      <c r="M52" s="11">
        <v>3</v>
      </c>
      <c r="N52" s="19">
        <f t="shared" si="6"/>
        <v>3</v>
      </c>
      <c r="O52" s="20">
        <f t="shared" si="7"/>
        <v>4</v>
      </c>
      <c r="P52" s="20">
        <f t="shared" si="8"/>
        <v>7</v>
      </c>
      <c r="Q52" s="25"/>
      <c r="R52" s="11"/>
      <c r="S52" s="26" t="s">
        <v>33</v>
      </c>
      <c r="T52" s="11" t="s">
        <v>38</v>
      </c>
    </row>
    <row r="53" spans="1:23" x14ac:dyDescent="0.2">
      <c r="A53" s="54" t="s">
        <v>122</v>
      </c>
      <c r="B53" s="62" t="s">
        <v>123</v>
      </c>
      <c r="C53" s="63"/>
      <c r="D53" s="63"/>
      <c r="E53" s="63"/>
      <c r="F53" s="63"/>
      <c r="G53" s="63"/>
      <c r="H53" s="63"/>
      <c r="I53" s="64"/>
      <c r="J53" s="55">
        <v>6</v>
      </c>
      <c r="K53" s="55">
        <v>2</v>
      </c>
      <c r="L53" s="55">
        <v>1</v>
      </c>
      <c r="M53" s="11">
        <v>2</v>
      </c>
      <c r="N53" s="19">
        <f>K53+L53+M53</f>
        <v>5</v>
      </c>
      <c r="O53" s="20">
        <f>P53-N53</f>
        <v>6</v>
      </c>
      <c r="P53" s="20">
        <f>ROUND(PRODUCT(J53,25)/14,0)</f>
        <v>11</v>
      </c>
      <c r="Q53" s="25"/>
      <c r="R53" s="11" t="s">
        <v>28</v>
      </c>
      <c r="S53" s="26"/>
      <c r="T53" s="11" t="s">
        <v>38</v>
      </c>
    </row>
    <row r="54" spans="1:23" x14ac:dyDescent="0.2">
      <c r="A54" s="22" t="s">
        <v>25</v>
      </c>
      <c r="B54" s="98"/>
      <c r="C54" s="99"/>
      <c r="D54" s="99"/>
      <c r="E54" s="99"/>
      <c r="F54" s="99"/>
      <c r="G54" s="99"/>
      <c r="H54" s="99"/>
      <c r="I54" s="100"/>
      <c r="J54" s="22">
        <f t="shared" ref="J54:P54" si="9">SUM(J49:J53)</f>
        <v>30</v>
      </c>
      <c r="K54" s="22">
        <f t="shared" si="9"/>
        <v>8</v>
      </c>
      <c r="L54" s="22">
        <f t="shared" si="9"/>
        <v>4</v>
      </c>
      <c r="M54" s="22">
        <f t="shared" si="9"/>
        <v>11</v>
      </c>
      <c r="N54" s="22">
        <f t="shared" si="9"/>
        <v>23</v>
      </c>
      <c r="O54" s="22">
        <f t="shared" si="9"/>
        <v>32</v>
      </c>
      <c r="P54" s="22">
        <f t="shared" si="9"/>
        <v>55</v>
      </c>
      <c r="Q54" s="22">
        <f>COUNTIF(Q49:Q53,"E")</f>
        <v>3</v>
      </c>
      <c r="R54" s="22">
        <f>COUNTIF(R49:R53,"C")</f>
        <v>2</v>
      </c>
      <c r="S54" s="22">
        <f>COUNTIF(S49:S53,"VP")</f>
        <v>1</v>
      </c>
      <c r="T54" s="53">
        <f>COUNTA(T49:T53)</f>
        <v>5</v>
      </c>
      <c r="U54" s="104" t="str">
        <f>IF(Q54&gt;=SUM(R54:S54),"Corect","E trebuie să fie cel puțin egal cu C+VP")</f>
        <v>Corect</v>
      </c>
      <c r="V54" s="105"/>
      <c r="W54" s="105"/>
    </row>
    <row r="55" spans="1:23" ht="11.25" customHeight="1" x14ac:dyDescent="0.2"/>
    <row r="56" spans="1:23" x14ac:dyDescent="0.2">
      <c r="B56" s="8"/>
      <c r="C56" s="8"/>
      <c r="D56" s="8"/>
      <c r="E56" s="8"/>
      <c r="F56" s="8"/>
      <c r="G56" s="8"/>
      <c r="M56" s="8"/>
      <c r="N56" s="8"/>
      <c r="O56" s="8"/>
      <c r="P56" s="8"/>
      <c r="Q56" s="8"/>
      <c r="R56" s="8"/>
      <c r="S56" s="8"/>
    </row>
    <row r="58" spans="1:23" ht="18" customHeight="1" x14ac:dyDescent="0.2">
      <c r="A58" s="79" t="s">
        <v>44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</row>
    <row r="59" spans="1:23" ht="25.5" customHeight="1" x14ac:dyDescent="0.2">
      <c r="A59" s="89" t="s">
        <v>27</v>
      </c>
      <c r="B59" s="91" t="s">
        <v>26</v>
      </c>
      <c r="C59" s="92"/>
      <c r="D59" s="92"/>
      <c r="E59" s="92"/>
      <c r="F59" s="92"/>
      <c r="G59" s="92"/>
      <c r="H59" s="92"/>
      <c r="I59" s="93"/>
      <c r="J59" s="80" t="s">
        <v>40</v>
      </c>
      <c r="K59" s="82" t="s">
        <v>24</v>
      </c>
      <c r="L59" s="83"/>
      <c r="M59" s="84"/>
      <c r="N59" s="82" t="s">
        <v>41</v>
      </c>
      <c r="O59" s="86"/>
      <c r="P59" s="87"/>
      <c r="Q59" s="82" t="s">
        <v>23</v>
      </c>
      <c r="R59" s="83"/>
      <c r="S59" s="84"/>
      <c r="T59" s="88" t="s">
        <v>22</v>
      </c>
    </row>
    <row r="60" spans="1:23" ht="16.5" customHeight="1" x14ac:dyDescent="0.2">
      <c r="A60" s="90"/>
      <c r="B60" s="94"/>
      <c r="C60" s="95"/>
      <c r="D60" s="95"/>
      <c r="E60" s="95"/>
      <c r="F60" s="95"/>
      <c r="G60" s="95"/>
      <c r="H60" s="95"/>
      <c r="I60" s="96"/>
      <c r="J60" s="81"/>
      <c r="K60" s="5" t="s">
        <v>28</v>
      </c>
      <c r="L60" s="5" t="s">
        <v>29</v>
      </c>
      <c r="M60" s="5" t="s">
        <v>30</v>
      </c>
      <c r="N60" s="5" t="s">
        <v>34</v>
      </c>
      <c r="O60" s="5" t="s">
        <v>7</v>
      </c>
      <c r="P60" s="5" t="s">
        <v>31</v>
      </c>
      <c r="Q60" s="5" t="s">
        <v>32</v>
      </c>
      <c r="R60" s="5" t="s">
        <v>28</v>
      </c>
      <c r="S60" s="5" t="s">
        <v>33</v>
      </c>
      <c r="T60" s="81"/>
    </row>
    <row r="61" spans="1:23" x14ac:dyDescent="0.2">
      <c r="A61" s="54" t="s">
        <v>126</v>
      </c>
      <c r="B61" s="62" t="s">
        <v>127</v>
      </c>
      <c r="C61" s="63"/>
      <c r="D61" s="63"/>
      <c r="E61" s="63"/>
      <c r="F61" s="63"/>
      <c r="G61" s="63"/>
      <c r="H61" s="63"/>
      <c r="I61" s="64"/>
      <c r="J61" s="55">
        <v>8</v>
      </c>
      <c r="K61" s="55">
        <v>2</v>
      </c>
      <c r="L61" s="55">
        <v>1</v>
      </c>
      <c r="M61" s="11">
        <v>2</v>
      </c>
      <c r="N61" s="19">
        <f>K61+L61+M61</f>
        <v>5</v>
      </c>
      <c r="O61" s="20">
        <f>P61-N61</f>
        <v>9</v>
      </c>
      <c r="P61" s="20">
        <f>ROUND(PRODUCT(J61,25)/14,0)</f>
        <v>14</v>
      </c>
      <c r="Q61" s="25" t="s">
        <v>32</v>
      </c>
      <c r="R61" s="11"/>
      <c r="S61" s="26"/>
      <c r="T61" s="11" t="s">
        <v>37</v>
      </c>
    </row>
    <row r="62" spans="1:23" x14ac:dyDescent="0.2">
      <c r="A62" s="54" t="s">
        <v>128</v>
      </c>
      <c r="B62" s="62" t="s">
        <v>129</v>
      </c>
      <c r="C62" s="63"/>
      <c r="D62" s="63"/>
      <c r="E62" s="63"/>
      <c r="F62" s="63"/>
      <c r="G62" s="63"/>
      <c r="H62" s="63"/>
      <c r="I62" s="64"/>
      <c r="J62" s="55">
        <v>8</v>
      </c>
      <c r="K62" s="55">
        <v>2</v>
      </c>
      <c r="L62" s="55">
        <v>1</v>
      </c>
      <c r="M62" s="11">
        <v>2</v>
      </c>
      <c r="N62" s="19">
        <f t="shared" ref="N62:N64" si="10">K62+L62+M62</f>
        <v>5</v>
      </c>
      <c r="O62" s="20">
        <f t="shared" ref="O62:O64" si="11">P62-N62</f>
        <v>9</v>
      </c>
      <c r="P62" s="20">
        <f t="shared" ref="P62:P64" si="12">ROUND(PRODUCT(J62,25)/14,0)</f>
        <v>14</v>
      </c>
      <c r="Q62" s="25" t="s">
        <v>32</v>
      </c>
      <c r="R62" s="11"/>
      <c r="S62" s="26"/>
      <c r="T62" s="11" t="s">
        <v>37</v>
      </c>
    </row>
    <row r="63" spans="1:23" x14ac:dyDescent="0.2">
      <c r="A63" s="54" t="s">
        <v>130</v>
      </c>
      <c r="B63" s="62" t="s">
        <v>131</v>
      </c>
      <c r="C63" s="63"/>
      <c r="D63" s="63"/>
      <c r="E63" s="63"/>
      <c r="F63" s="63"/>
      <c r="G63" s="63"/>
      <c r="H63" s="63"/>
      <c r="I63" s="64"/>
      <c r="J63" s="55">
        <v>7</v>
      </c>
      <c r="K63" s="55">
        <v>2</v>
      </c>
      <c r="L63" s="55">
        <v>1</v>
      </c>
      <c r="M63" s="11">
        <v>2</v>
      </c>
      <c r="N63" s="19">
        <f t="shared" si="10"/>
        <v>5</v>
      </c>
      <c r="O63" s="20">
        <f t="shared" si="11"/>
        <v>8</v>
      </c>
      <c r="P63" s="20">
        <f t="shared" si="12"/>
        <v>13</v>
      </c>
      <c r="Q63" s="25"/>
      <c r="R63" s="11" t="s">
        <v>28</v>
      </c>
      <c r="S63" s="26"/>
      <c r="T63" s="11" t="s">
        <v>37</v>
      </c>
    </row>
    <row r="64" spans="1:23" x14ac:dyDescent="0.2">
      <c r="A64" s="54" t="s">
        <v>132</v>
      </c>
      <c r="B64" s="62" t="s">
        <v>133</v>
      </c>
      <c r="C64" s="63"/>
      <c r="D64" s="63"/>
      <c r="E64" s="63"/>
      <c r="F64" s="63"/>
      <c r="G64" s="63"/>
      <c r="H64" s="63"/>
      <c r="I64" s="64"/>
      <c r="J64" s="55">
        <v>7</v>
      </c>
      <c r="K64" s="55">
        <v>2</v>
      </c>
      <c r="L64" s="55">
        <v>1</v>
      </c>
      <c r="M64" s="11">
        <v>2</v>
      </c>
      <c r="N64" s="19">
        <f t="shared" si="10"/>
        <v>5</v>
      </c>
      <c r="O64" s="20">
        <f t="shared" si="11"/>
        <v>8</v>
      </c>
      <c r="P64" s="20">
        <f t="shared" si="12"/>
        <v>13</v>
      </c>
      <c r="Q64" s="25"/>
      <c r="R64" s="11" t="s">
        <v>28</v>
      </c>
      <c r="S64" s="26"/>
      <c r="T64" s="11" t="s">
        <v>37</v>
      </c>
    </row>
    <row r="65" spans="1:23" x14ac:dyDescent="0.2">
      <c r="A65" s="22" t="s">
        <v>25</v>
      </c>
      <c r="B65" s="98"/>
      <c r="C65" s="99"/>
      <c r="D65" s="99"/>
      <c r="E65" s="99"/>
      <c r="F65" s="99"/>
      <c r="G65" s="99"/>
      <c r="H65" s="99"/>
      <c r="I65" s="100"/>
      <c r="J65" s="22">
        <f t="shared" ref="J65:P65" si="13">SUM(J61:J64)</f>
        <v>30</v>
      </c>
      <c r="K65" s="22">
        <f t="shared" si="13"/>
        <v>8</v>
      </c>
      <c r="L65" s="22">
        <f t="shared" si="13"/>
        <v>4</v>
      </c>
      <c r="M65" s="22">
        <f t="shared" si="13"/>
        <v>8</v>
      </c>
      <c r="N65" s="22">
        <f t="shared" si="13"/>
        <v>20</v>
      </c>
      <c r="O65" s="22">
        <f t="shared" si="13"/>
        <v>34</v>
      </c>
      <c r="P65" s="22">
        <f t="shared" si="13"/>
        <v>54</v>
      </c>
      <c r="Q65" s="22">
        <f>COUNTIF(Q61:Q64,"E")</f>
        <v>2</v>
      </c>
      <c r="R65" s="22">
        <f>COUNTIF(R61:R64,"C")</f>
        <v>2</v>
      </c>
      <c r="S65" s="22">
        <f>COUNTIF(S61:S64,"VP")</f>
        <v>0</v>
      </c>
      <c r="T65" s="53">
        <f>COUNTA(T61:T64)</f>
        <v>4</v>
      </c>
      <c r="U65" s="104" t="str">
        <f>IF(Q65&gt;=SUM(R65:S65),"Corect","E trebuie să fie cel puțin egal cu C+VP")</f>
        <v>Corect</v>
      </c>
      <c r="V65" s="105"/>
      <c r="W65" s="105"/>
    </row>
    <row r="66" spans="1:23" ht="21.75" customHeight="1" x14ac:dyDescent="0.2"/>
    <row r="67" spans="1:23" ht="18.75" customHeight="1" x14ac:dyDescent="0.2">
      <c r="A67" s="79" t="s">
        <v>45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</row>
    <row r="68" spans="1:23" ht="24.75" customHeight="1" x14ac:dyDescent="0.2">
      <c r="A68" s="89" t="s">
        <v>27</v>
      </c>
      <c r="B68" s="91" t="s">
        <v>26</v>
      </c>
      <c r="C68" s="92"/>
      <c r="D68" s="92"/>
      <c r="E68" s="92"/>
      <c r="F68" s="92"/>
      <c r="G68" s="92"/>
      <c r="H68" s="92"/>
      <c r="I68" s="93"/>
      <c r="J68" s="80" t="s">
        <v>40</v>
      </c>
      <c r="K68" s="82" t="s">
        <v>24</v>
      </c>
      <c r="L68" s="83"/>
      <c r="M68" s="84"/>
      <c r="N68" s="82" t="s">
        <v>41</v>
      </c>
      <c r="O68" s="86"/>
      <c r="P68" s="87"/>
      <c r="Q68" s="82" t="s">
        <v>23</v>
      </c>
      <c r="R68" s="83"/>
      <c r="S68" s="84"/>
      <c r="T68" s="88" t="s">
        <v>22</v>
      </c>
      <c r="U68" s="1">
        <f>163*14+64*12</f>
        <v>3050</v>
      </c>
    </row>
    <row r="69" spans="1:23" x14ac:dyDescent="0.2">
      <c r="A69" s="90"/>
      <c r="B69" s="94"/>
      <c r="C69" s="95"/>
      <c r="D69" s="95"/>
      <c r="E69" s="95"/>
      <c r="F69" s="95"/>
      <c r="G69" s="95"/>
      <c r="H69" s="95"/>
      <c r="I69" s="96"/>
      <c r="J69" s="81"/>
      <c r="K69" s="5" t="s">
        <v>28</v>
      </c>
      <c r="L69" s="5" t="s">
        <v>29</v>
      </c>
      <c r="M69" s="5" t="s">
        <v>30</v>
      </c>
      <c r="N69" s="5" t="s">
        <v>34</v>
      </c>
      <c r="O69" s="5" t="s">
        <v>7</v>
      </c>
      <c r="P69" s="5" t="s">
        <v>31</v>
      </c>
      <c r="Q69" s="5" t="s">
        <v>32</v>
      </c>
      <c r="R69" s="5" t="s">
        <v>28</v>
      </c>
      <c r="S69" s="5" t="s">
        <v>33</v>
      </c>
      <c r="T69" s="81"/>
    </row>
    <row r="70" spans="1:23" x14ac:dyDescent="0.2">
      <c r="A70" s="54" t="s">
        <v>134</v>
      </c>
      <c r="B70" s="62" t="s">
        <v>135</v>
      </c>
      <c r="C70" s="63"/>
      <c r="D70" s="63"/>
      <c r="E70" s="63"/>
      <c r="F70" s="63"/>
      <c r="G70" s="63"/>
      <c r="H70" s="63"/>
      <c r="I70" s="64"/>
      <c r="J70" s="55">
        <v>7</v>
      </c>
      <c r="K70" s="55">
        <v>2</v>
      </c>
      <c r="L70" s="55">
        <v>1</v>
      </c>
      <c r="M70" s="11">
        <v>2</v>
      </c>
      <c r="N70" s="52">
        <f>K70+L70+M70</f>
        <v>5</v>
      </c>
      <c r="O70" s="20">
        <f>P70-N70</f>
        <v>10</v>
      </c>
      <c r="P70" s="20">
        <f>ROUND(PRODUCT(J70,25)/12,0)</f>
        <v>15</v>
      </c>
      <c r="Q70" s="25"/>
      <c r="R70" s="11" t="s">
        <v>28</v>
      </c>
      <c r="S70" s="26"/>
      <c r="T70" s="11" t="s">
        <v>37</v>
      </c>
    </row>
    <row r="71" spans="1:23" x14ac:dyDescent="0.2">
      <c r="A71" s="54" t="s">
        <v>136</v>
      </c>
      <c r="B71" s="62" t="s">
        <v>137</v>
      </c>
      <c r="C71" s="63"/>
      <c r="D71" s="63"/>
      <c r="E71" s="63"/>
      <c r="F71" s="63"/>
      <c r="G71" s="63"/>
      <c r="H71" s="63"/>
      <c r="I71" s="64"/>
      <c r="J71" s="55">
        <v>7</v>
      </c>
      <c r="K71" s="55">
        <v>2</v>
      </c>
      <c r="L71" s="55">
        <v>1</v>
      </c>
      <c r="M71" s="11">
        <v>2</v>
      </c>
      <c r="N71" s="19">
        <f t="shared" ref="N71:N74" si="14">K71+L71+M71</f>
        <v>5</v>
      </c>
      <c r="O71" s="20">
        <f t="shared" ref="O71:O74" si="15">P71-N71</f>
        <v>10</v>
      </c>
      <c r="P71" s="20">
        <f t="shared" ref="P71:P74" si="16">ROUND(PRODUCT(J71,25)/12,0)</f>
        <v>15</v>
      </c>
      <c r="Q71" s="25" t="s">
        <v>32</v>
      </c>
      <c r="R71" s="11"/>
      <c r="S71" s="26"/>
      <c r="T71" s="11" t="s">
        <v>39</v>
      </c>
    </row>
    <row r="72" spans="1:23" x14ac:dyDescent="0.2">
      <c r="A72" s="54" t="s">
        <v>138</v>
      </c>
      <c r="B72" s="62" t="s">
        <v>139</v>
      </c>
      <c r="C72" s="63"/>
      <c r="D72" s="63"/>
      <c r="E72" s="63"/>
      <c r="F72" s="63"/>
      <c r="G72" s="63"/>
      <c r="H72" s="63"/>
      <c r="I72" s="64"/>
      <c r="J72" s="55">
        <v>6</v>
      </c>
      <c r="K72" s="55">
        <v>2</v>
      </c>
      <c r="L72" s="55">
        <v>1</v>
      </c>
      <c r="M72" s="11">
        <v>2</v>
      </c>
      <c r="N72" s="19">
        <f t="shared" si="14"/>
        <v>5</v>
      </c>
      <c r="O72" s="20">
        <f t="shared" si="15"/>
        <v>8</v>
      </c>
      <c r="P72" s="20">
        <f t="shared" si="16"/>
        <v>13</v>
      </c>
      <c r="Q72" s="25" t="s">
        <v>32</v>
      </c>
      <c r="R72" s="11"/>
      <c r="S72" s="26"/>
      <c r="T72" s="11" t="s">
        <v>38</v>
      </c>
    </row>
    <row r="73" spans="1:23" x14ac:dyDescent="0.2">
      <c r="A73" s="54" t="s">
        <v>140</v>
      </c>
      <c r="B73" s="62" t="s">
        <v>141</v>
      </c>
      <c r="C73" s="63"/>
      <c r="D73" s="63"/>
      <c r="E73" s="63"/>
      <c r="F73" s="63"/>
      <c r="G73" s="63"/>
      <c r="H73" s="63"/>
      <c r="I73" s="64"/>
      <c r="J73" s="55">
        <v>6</v>
      </c>
      <c r="K73" s="55">
        <v>2</v>
      </c>
      <c r="L73" s="55">
        <v>1</v>
      </c>
      <c r="M73" s="11">
        <v>2</v>
      </c>
      <c r="N73" s="19">
        <f t="shared" si="14"/>
        <v>5</v>
      </c>
      <c r="O73" s="20">
        <f t="shared" si="15"/>
        <v>8</v>
      </c>
      <c r="P73" s="20">
        <f t="shared" si="16"/>
        <v>13</v>
      </c>
      <c r="Q73" s="25" t="s">
        <v>32</v>
      </c>
      <c r="R73" s="11"/>
      <c r="S73" s="26"/>
      <c r="T73" s="11" t="s">
        <v>38</v>
      </c>
    </row>
    <row r="74" spans="1:23" x14ac:dyDescent="0.2">
      <c r="A74" s="54" t="s">
        <v>120</v>
      </c>
      <c r="B74" s="62" t="s">
        <v>121</v>
      </c>
      <c r="C74" s="63"/>
      <c r="D74" s="63"/>
      <c r="E74" s="63"/>
      <c r="F74" s="63"/>
      <c r="G74" s="63"/>
      <c r="H74" s="63"/>
      <c r="I74" s="64"/>
      <c r="J74" s="55">
        <v>4</v>
      </c>
      <c r="K74" s="55">
        <v>0</v>
      </c>
      <c r="L74" s="55">
        <v>0</v>
      </c>
      <c r="M74" s="11">
        <v>3</v>
      </c>
      <c r="N74" s="19">
        <f t="shared" si="14"/>
        <v>3</v>
      </c>
      <c r="O74" s="20">
        <f t="shared" si="15"/>
        <v>5</v>
      </c>
      <c r="P74" s="20">
        <f t="shared" si="16"/>
        <v>8</v>
      </c>
      <c r="Q74" s="25"/>
      <c r="R74" s="11"/>
      <c r="S74" s="26" t="s">
        <v>33</v>
      </c>
      <c r="T74" s="11" t="s">
        <v>38</v>
      </c>
    </row>
    <row r="75" spans="1:23" x14ac:dyDescent="0.2">
      <c r="A75" s="22" t="s">
        <v>25</v>
      </c>
      <c r="B75" s="98"/>
      <c r="C75" s="99"/>
      <c r="D75" s="99"/>
      <c r="E75" s="99"/>
      <c r="F75" s="99"/>
      <c r="G75" s="99"/>
      <c r="H75" s="99"/>
      <c r="I75" s="100"/>
      <c r="J75" s="22">
        <f t="shared" ref="J75:P75" si="17">SUM(J70:J74)</f>
        <v>30</v>
      </c>
      <c r="K75" s="22">
        <f t="shared" si="17"/>
        <v>8</v>
      </c>
      <c r="L75" s="22">
        <f t="shared" si="17"/>
        <v>4</v>
      </c>
      <c r="M75" s="22">
        <f t="shared" si="17"/>
        <v>11</v>
      </c>
      <c r="N75" s="22">
        <f t="shared" si="17"/>
        <v>23</v>
      </c>
      <c r="O75" s="22">
        <f t="shared" si="17"/>
        <v>41</v>
      </c>
      <c r="P75" s="22">
        <f t="shared" si="17"/>
        <v>64</v>
      </c>
      <c r="Q75" s="22">
        <f>COUNTIF(Q70:Q74,"E")</f>
        <v>3</v>
      </c>
      <c r="R75" s="22">
        <f>COUNTIF(R70:R74,"C")</f>
        <v>1</v>
      </c>
      <c r="S75" s="22">
        <f>COUNTIF(S70:S74,"VP")</f>
        <v>1</v>
      </c>
      <c r="T75" s="53">
        <f>COUNTA(T70:T74)</f>
        <v>5</v>
      </c>
      <c r="U75" s="104" t="str">
        <f>IF(Q75&gt;=SUM(R75:S75),"Corect","E trebuie să fie cel puțin egal cu C+VP")</f>
        <v>Corect</v>
      </c>
      <c r="V75" s="105"/>
      <c r="W75" s="105"/>
    </row>
    <row r="76" spans="1:23" ht="9" customHeight="1" x14ac:dyDescent="0.2"/>
    <row r="77" spans="1:23" x14ac:dyDescent="0.2">
      <c r="B77" s="2"/>
      <c r="C77" s="2"/>
      <c r="D77" s="2"/>
      <c r="E77" s="2"/>
      <c r="F77" s="2"/>
      <c r="G77" s="2"/>
      <c r="M77" s="8"/>
      <c r="N77" s="8"/>
      <c r="O77" s="8"/>
      <c r="P77" s="8"/>
      <c r="Q77" s="8"/>
      <c r="R77" s="8"/>
      <c r="S77" s="8"/>
    </row>
    <row r="80" spans="1:23" ht="19.5" customHeight="1" x14ac:dyDescent="0.2">
      <c r="A80" s="97" t="s">
        <v>46</v>
      </c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</row>
    <row r="81" spans="1:20" ht="27.75" customHeight="1" x14ac:dyDescent="0.2">
      <c r="A81" s="89" t="s">
        <v>27</v>
      </c>
      <c r="B81" s="91" t="s">
        <v>26</v>
      </c>
      <c r="C81" s="92"/>
      <c r="D81" s="92"/>
      <c r="E81" s="92"/>
      <c r="F81" s="92"/>
      <c r="G81" s="92"/>
      <c r="H81" s="92"/>
      <c r="I81" s="93"/>
      <c r="J81" s="80" t="s">
        <v>40</v>
      </c>
      <c r="K81" s="101" t="s">
        <v>24</v>
      </c>
      <c r="L81" s="101"/>
      <c r="M81" s="101"/>
      <c r="N81" s="101" t="s">
        <v>41</v>
      </c>
      <c r="O81" s="102"/>
      <c r="P81" s="102"/>
      <c r="Q81" s="101" t="s">
        <v>23</v>
      </c>
      <c r="R81" s="101"/>
      <c r="S81" s="101"/>
      <c r="T81" s="101" t="s">
        <v>22</v>
      </c>
    </row>
    <row r="82" spans="1:20" ht="12.75" customHeight="1" x14ac:dyDescent="0.2">
      <c r="A82" s="90"/>
      <c r="B82" s="94"/>
      <c r="C82" s="95"/>
      <c r="D82" s="95"/>
      <c r="E82" s="95"/>
      <c r="F82" s="95"/>
      <c r="G82" s="95"/>
      <c r="H82" s="95"/>
      <c r="I82" s="96"/>
      <c r="J82" s="81"/>
      <c r="K82" s="5" t="s">
        <v>28</v>
      </c>
      <c r="L82" s="5" t="s">
        <v>29</v>
      </c>
      <c r="M82" s="5" t="s">
        <v>30</v>
      </c>
      <c r="N82" s="5" t="s">
        <v>34</v>
      </c>
      <c r="O82" s="5" t="s">
        <v>7</v>
      </c>
      <c r="P82" s="5" t="s">
        <v>31</v>
      </c>
      <c r="Q82" s="5" t="s">
        <v>32</v>
      </c>
      <c r="R82" s="5" t="s">
        <v>28</v>
      </c>
      <c r="S82" s="5" t="s">
        <v>33</v>
      </c>
      <c r="T82" s="101"/>
    </row>
    <row r="83" spans="1:20" x14ac:dyDescent="0.2">
      <c r="A83" s="68" t="s">
        <v>153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70"/>
    </row>
    <row r="84" spans="1:20" x14ac:dyDescent="0.2">
      <c r="A84" s="58" t="s">
        <v>142</v>
      </c>
      <c r="B84" s="65" t="s">
        <v>143</v>
      </c>
      <c r="C84" s="66"/>
      <c r="D84" s="66"/>
      <c r="E84" s="66"/>
      <c r="F84" s="66"/>
      <c r="G84" s="66"/>
      <c r="H84" s="66"/>
      <c r="I84" s="67"/>
      <c r="J84" s="55">
        <v>6</v>
      </c>
      <c r="K84" s="55">
        <v>2</v>
      </c>
      <c r="L84" s="55">
        <v>1</v>
      </c>
      <c r="M84" s="27">
        <v>2</v>
      </c>
      <c r="N84" s="20">
        <f>K84+L84+M84</f>
        <v>5</v>
      </c>
      <c r="O84" s="20">
        <f>P84-N84</f>
        <v>6</v>
      </c>
      <c r="P84" s="20">
        <f>ROUND(PRODUCT(J84,25)/14,0)</f>
        <v>11</v>
      </c>
      <c r="Q84" s="27"/>
      <c r="R84" s="27" t="s">
        <v>28</v>
      </c>
      <c r="S84" s="28"/>
      <c r="T84" s="11" t="s">
        <v>38</v>
      </c>
    </row>
    <row r="85" spans="1:20" x14ac:dyDescent="0.2">
      <c r="A85" s="58" t="s">
        <v>144</v>
      </c>
      <c r="B85" s="65" t="s">
        <v>145</v>
      </c>
      <c r="C85" s="66"/>
      <c r="D85" s="66"/>
      <c r="E85" s="66"/>
      <c r="F85" s="66"/>
      <c r="G85" s="66"/>
      <c r="H85" s="66"/>
      <c r="I85" s="67"/>
      <c r="J85" s="55">
        <v>6</v>
      </c>
      <c r="K85" s="55">
        <v>2</v>
      </c>
      <c r="L85" s="55">
        <v>1</v>
      </c>
      <c r="M85" s="27">
        <v>2</v>
      </c>
      <c r="N85" s="20">
        <f t="shared" ref="N85:N87" si="18">K85+L85+M85</f>
        <v>5</v>
      </c>
      <c r="O85" s="20">
        <f t="shared" ref="O85:O87" si="19">P85-N85</f>
        <v>6</v>
      </c>
      <c r="P85" s="20">
        <f t="shared" ref="P85:P87" si="20">ROUND(PRODUCT(J85,25)/14,0)</f>
        <v>11</v>
      </c>
      <c r="Q85" s="27"/>
      <c r="R85" s="27" t="s">
        <v>28</v>
      </c>
      <c r="S85" s="28"/>
      <c r="T85" s="11" t="s">
        <v>38</v>
      </c>
    </row>
    <row r="86" spans="1:20" x14ac:dyDescent="0.2">
      <c r="A86" s="71" t="s">
        <v>152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3"/>
    </row>
    <row r="87" spans="1:20" x14ac:dyDescent="0.2">
      <c r="A87" s="58" t="s">
        <v>146</v>
      </c>
      <c r="B87" s="65" t="s">
        <v>147</v>
      </c>
      <c r="C87" s="66"/>
      <c r="D87" s="66"/>
      <c r="E87" s="66"/>
      <c r="F87" s="66"/>
      <c r="G87" s="66"/>
      <c r="H87" s="66"/>
      <c r="I87" s="67"/>
      <c r="J87" s="55">
        <v>6</v>
      </c>
      <c r="K87" s="55">
        <v>2</v>
      </c>
      <c r="L87" s="55">
        <v>1</v>
      </c>
      <c r="M87" s="27">
        <v>2</v>
      </c>
      <c r="N87" s="20">
        <f t="shared" si="18"/>
        <v>5</v>
      </c>
      <c r="O87" s="20">
        <f t="shared" si="19"/>
        <v>6</v>
      </c>
      <c r="P87" s="20">
        <f t="shared" si="20"/>
        <v>11</v>
      </c>
      <c r="Q87" s="27" t="s">
        <v>32</v>
      </c>
      <c r="R87" s="27"/>
      <c r="S87" s="28"/>
      <c r="T87" s="11" t="s">
        <v>38</v>
      </c>
    </row>
    <row r="88" spans="1:20" x14ac:dyDescent="0.2">
      <c r="A88" s="58" t="s">
        <v>148</v>
      </c>
      <c r="B88" s="59" t="s">
        <v>149</v>
      </c>
      <c r="C88" s="60"/>
      <c r="D88" s="60"/>
      <c r="E88" s="60"/>
      <c r="F88" s="60"/>
      <c r="G88" s="60"/>
      <c r="H88" s="60"/>
      <c r="I88" s="61"/>
      <c r="J88" s="55">
        <v>6</v>
      </c>
      <c r="K88" s="55">
        <v>2</v>
      </c>
      <c r="L88" s="55">
        <v>1</v>
      </c>
      <c r="M88" s="27">
        <v>2</v>
      </c>
      <c r="N88" s="20">
        <f t="shared" ref="N88:N89" si="21">K88+L88+M88</f>
        <v>5</v>
      </c>
      <c r="O88" s="20">
        <f t="shared" ref="O88:O89" si="22">P88-N88</f>
        <v>6</v>
      </c>
      <c r="P88" s="20">
        <f t="shared" ref="P88:P89" si="23">ROUND(PRODUCT(J88,25)/14,0)</f>
        <v>11</v>
      </c>
      <c r="Q88" s="27" t="s">
        <v>32</v>
      </c>
      <c r="R88" s="27"/>
      <c r="S88" s="28"/>
      <c r="T88" s="11" t="s">
        <v>38</v>
      </c>
    </row>
    <row r="89" spans="1:20" x14ac:dyDescent="0.2">
      <c r="A89" s="58" t="s">
        <v>150</v>
      </c>
      <c r="B89" s="65" t="s">
        <v>151</v>
      </c>
      <c r="C89" s="66"/>
      <c r="D89" s="66"/>
      <c r="E89" s="66"/>
      <c r="F89" s="66"/>
      <c r="G89" s="66"/>
      <c r="H89" s="66"/>
      <c r="I89" s="67"/>
      <c r="J89" s="55">
        <v>6</v>
      </c>
      <c r="K89" s="55">
        <v>2</v>
      </c>
      <c r="L89" s="55">
        <v>1</v>
      </c>
      <c r="M89" s="27">
        <v>2</v>
      </c>
      <c r="N89" s="20">
        <f t="shared" si="21"/>
        <v>5</v>
      </c>
      <c r="O89" s="20">
        <f t="shared" si="22"/>
        <v>6</v>
      </c>
      <c r="P89" s="20">
        <f t="shared" si="23"/>
        <v>11</v>
      </c>
      <c r="Q89" s="27" t="s">
        <v>32</v>
      </c>
      <c r="R89" s="27"/>
      <c r="S89" s="28"/>
      <c r="T89" s="11" t="s">
        <v>38</v>
      </c>
    </row>
    <row r="90" spans="1:20" ht="24.75" customHeight="1" x14ac:dyDescent="0.2">
      <c r="A90" s="130" t="s">
        <v>73</v>
      </c>
      <c r="B90" s="131"/>
      <c r="C90" s="131"/>
      <c r="D90" s="131"/>
      <c r="E90" s="131"/>
      <c r="F90" s="131"/>
      <c r="G90" s="131"/>
      <c r="H90" s="131"/>
      <c r="I90" s="132"/>
      <c r="J90" s="24">
        <f>SUM(J84,J87)</f>
        <v>12</v>
      </c>
      <c r="K90" s="24">
        <f t="shared" ref="K90:P90" si="24">SUM(K84,K87)</f>
        <v>4</v>
      </c>
      <c r="L90" s="24">
        <f t="shared" si="24"/>
        <v>2</v>
      </c>
      <c r="M90" s="24">
        <f t="shared" si="24"/>
        <v>4</v>
      </c>
      <c r="N90" s="24">
        <f t="shared" si="24"/>
        <v>10</v>
      </c>
      <c r="O90" s="24">
        <f t="shared" si="24"/>
        <v>12</v>
      </c>
      <c r="P90" s="24">
        <f t="shared" si="24"/>
        <v>22</v>
      </c>
      <c r="Q90" s="24">
        <f>COUNTIF(Q84,"E")+COUNTIF(Q87,"E")</f>
        <v>1</v>
      </c>
      <c r="R90" s="24">
        <f>COUNTIF(R84,"C")+COUNTIF(R87,"C")</f>
        <v>1</v>
      </c>
      <c r="S90" s="24">
        <f>COUNTIF(S84,"VP")+COUNTIF(S87,"VP")</f>
        <v>0</v>
      </c>
      <c r="T90" s="29"/>
    </row>
    <row r="91" spans="1:20" ht="13.5" customHeight="1" x14ac:dyDescent="0.2">
      <c r="A91" s="111" t="s">
        <v>48</v>
      </c>
      <c r="B91" s="112"/>
      <c r="C91" s="112"/>
      <c r="D91" s="112"/>
      <c r="E91" s="112"/>
      <c r="F91" s="112"/>
      <c r="G91" s="112"/>
      <c r="H91" s="112"/>
      <c r="I91" s="112"/>
      <c r="J91" s="113"/>
      <c r="K91" s="24">
        <f>SUM(K84)*14+K87*12</f>
        <v>52</v>
      </c>
      <c r="L91" s="24">
        <f t="shared" ref="L91:P91" si="25">SUM(L84)*14+L87*12</f>
        <v>26</v>
      </c>
      <c r="M91" s="24">
        <f t="shared" si="25"/>
        <v>52</v>
      </c>
      <c r="N91" s="24">
        <f>SUM(N84)*14+N87*12</f>
        <v>130</v>
      </c>
      <c r="O91" s="24">
        <f t="shared" si="25"/>
        <v>156</v>
      </c>
      <c r="P91" s="24">
        <f t="shared" si="25"/>
        <v>286</v>
      </c>
      <c r="Q91" s="117"/>
      <c r="R91" s="118"/>
      <c r="S91" s="118"/>
      <c r="T91" s="119"/>
    </row>
    <row r="92" spans="1:20" x14ac:dyDescent="0.2">
      <c r="A92" s="114"/>
      <c r="B92" s="115"/>
      <c r="C92" s="115"/>
      <c r="D92" s="115"/>
      <c r="E92" s="115"/>
      <c r="F92" s="115"/>
      <c r="G92" s="115"/>
      <c r="H92" s="115"/>
      <c r="I92" s="115"/>
      <c r="J92" s="116"/>
      <c r="K92" s="127">
        <f>SUM(K91:M91)</f>
        <v>130</v>
      </c>
      <c r="L92" s="128"/>
      <c r="M92" s="129"/>
      <c r="N92" s="124">
        <f>SUM(N91:O91)</f>
        <v>286</v>
      </c>
      <c r="O92" s="125"/>
      <c r="P92" s="126"/>
      <c r="Q92" s="120"/>
      <c r="R92" s="121"/>
      <c r="S92" s="121"/>
      <c r="T92" s="122"/>
    </row>
    <row r="93" spans="1:20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3"/>
      <c r="L93" s="13"/>
      <c r="M93" s="13"/>
      <c r="N93" s="14"/>
      <c r="O93" s="14"/>
      <c r="P93" s="14"/>
      <c r="Q93" s="15"/>
      <c r="R93" s="15"/>
      <c r="S93" s="15"/>
      <c r="T93" s="15"/>
    </row>
    <row r="94" spans="1:20" x14ac:dyDescent="0.2">
      <c r="B94" s="2"/>
      <c r="C94" s="2"/>
      <c r="D94" s="2"/>
      <c r="E94" s="2"/>
      <c r="F94" s="2"/>
      <c r="G94" s="2"/>
      <c r="M94" s="8"/>
      <c r="N94" s="8"/>
      <c r="O94" s="8"/>
      <c r="P94" s="8"/>
      <c r="Q94" s="8"/>
      <c r="R94" s="8"/>
      <c r="S94" s="8"/>
    </row>
    <row r="95" spans="1:20" ht="1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3"/>
      <c r="L95" s="13"/>
      <c r="M95" s="13"/>
      <c r="N95" s="16"/>
      <c r="O95" s="16"/>
      <c r="P95" s="16"/>
      <c r="Q95" s="16"/>
      <c r="R95" s="16"/>
      <c r="S95" s="16"/>
      <c r="T95" s="16"/>
    </row>
    <row r="96" spans="1:20" ht="1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3"/>
      <c r="L96" s="13"/>
      <c r="M96" s="13"/>
      <c r="N96" s="16"/>
      <c r="O96" s="16"/>
      <c r="P96" s="16"/>
      <c r="Q96" s="16"/>
      <c r="R96" s="16"/>
      <c r="S96" s="16"/>
      <c r="T96" s="16"/>
    </row>
    <row r="97" spans="1:20" ht="24" customHeight="1" x14ac:dyDescent="0.2">
      <c r="A97" s="95" t="s">
        <v>49</v>
      </c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</row>
    <row r="98" spans="1:20" ht="16.5" customHeight="1" x14ac:dyDescent="0.2">
      <c r="A98" s="98" t="s">
        <v>50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100"/>
    </row>
    <row r="99" spans="1:20" ht="34.5" customHeight="1" x14ac:dyDescent="0.2">
      <c r="A99" s="85" t="s">
        <v>27</v>
      </c>
      <c r="B99" s="85" t="s">
        <v>26</v>
      </c>
      <c r="C99" s="85"/>
      <c r="D99" s="85"/>
      <c r="E99" s="85"/>
      <c r="F99" s="85"/>
      <c r="G99" s="85"/>
      <c r="H99" s="85"/>
      <c r="I99" s="85"/>
      <c r="J99" s="78" t="s">
        <v>40</v>
      </c>
      <c r="K99" s="78" t="s">
        <v>24</v>
      </c>
      <c r="L99" s="78"/>
      <c r="M99" s="78"/>
      <c r="N99" s="78" t="s">
        <v>41</v>
      </c>
      <c r="O99" s="78"/>
      <c r="P99" s="78"/>
      <c r="Q99" s="78" t="s">
        <v>23</v>
      </c>
      <c r="R99" s="78"/>
      <c r="S99" s="78"/>
      <c r="T99" s="78" t="s">
        <v>22</v>
      </c>
    </row>
    <row r="100" spans="1:20" x14ac:dyDescent="0.2">
      <c r="A100" s="85"/>
      <c r="B100" s="85"/>
      <c r="C100" s="85"/>
      <c r="D100" s="85"/>
      <c r="E100" s="85"/>
      <c r="F100" s="85"/>
      <c r="G100" s="85"/>
      <c r="H100" s="85"/>
      <c r="I100" s="85"/>
      <c r="J100" s="78"/>
      <c r="K100" s="31" t="s">
        <v>28</v>
      </c>
      <c r="L100" s="31" t="s">
        <v>29</v>
      </c>
      <c r="M100" s="31" t="s">
        <v>30</v>
      </c>
      <c r="N100" s="31" t="s">
        <v>34</v>
      </c>
      <c r="O100" s="31" t="s">
        <v>7</v>
      </c>
      <c r="P100" s="31" t="s">
        <v>31</v>
      </c>
      <c r="Q100" s="31" t="s">
        <v>32</v>
      </c>
      <c r="R100" s="31" t="s">
        <v>28</v>
      </c>
      <c r="S100" s="31" t="s">
        <v>33</v>
      </c>
      <c r="T100" s="78"/>
    </row>
    <row r="101" spans="1:20" ht="17.25" customHeight="1" x14ac:dyDescent="0.2">
      <c r="A101" s="98" t="s">
        <v>62</v>
      </c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100"/>
    </row>
    <row r="102" spans="1:20" x14ac:dyDescent="0.2">
      <c r="A102" s="32" t="str">
        <f t="shared" ref="A102:A110" si="26">IF(ISNA(INDEX($A$37:$T$94,MATCH($B102,$B$37:$B$94,0),1)),"",INDEX($A$37:$T$94,MATCH($B102,$B$37:$B$94,0),1))</f>
        <v>MMM3085</v>
      </c>
      <c r="B102" s="123" t="s">
        <v>111</v>
      </c>
      <c r="C102" s="123"/>
      <c r="D102" s="123"/>
      <c r="E102" s="123"/>
      <c r="F102" s="123"/>
      <c r="G102" s="123"/>
      <c r="H102" s="123"/>
      <c r="I102" s="123"/>
      <c r="J102" s="20">
        <f t="shared" ref="J102:J110" si="27">IF(ISNA(INDEX($A$37:$T$94,MATCH($B102,$B$37:$B$94,0),10)),"",INDEX($A$37:$T$94,MATCH($B102,$B$37:$B$94,0),10))</f>
        <v>7</v>
      </c>
      <c r="K102" s="20">
        <f t="shared" ref="K102:K110" si="28">IF(ISNA(INDEX($A$37:$T$94,MATCH($B102,$B$37:$B$94,0),11)),"",INDEX($A$37:$T$94,MATCH($B102,$B$37:$B$94,0),11))</f>
        <v>2</v>
      </c>
      <c r="L102" s="20">
        <f t="shared" ref="L102:L110" si="29">IF(ISNA(INDEX($A$37:$T$94,MATCH($B102,$B$37:$B$94,0),12)),"",INDEX($A$37:$T$94,MATCH($B102,$B$37:$B$94,0),12))</f>
        <v>1</v>
      </c>
      <c r="M102" s="20">
        <f t="shared" ref="M102:M110" si="30">IF(ISNA(INDEX($A$37:$T$94,MATCH($B102,$B$37:$B$94,0),13)),"",INDEX($A$37:$T$94,MATCH($B102,$B$37:$B$94,0),13))</f>
        <v>2</v>
      </c>
      <c r="N102" s="20">
        <f t="shared" ref="N102:N110" si="31">IF(ISNA(INDEX($A$37:$T$94,MATCH($B102,$B$37:$B$94,0),14)),"",INDEX($A$37:$T$94,MATCH($B102,$B$37:$B$94,0),14))</f>
        <v>5</v>
      </c>
      <c r="O102" s="20">
        <f t="shared" ref="O102:O110" si="32">IF(ISNA(INDEX($A$37:$T$94,MATCH($B102,$B$37:$B$94,0),15)),"",INDEX($A$37:$T$94,MATCH($B102,$B$37:$B$94,0),15))</f>
        <v>8</v>
      </c>
      <c r="P102" s="20">
        <f t="shared" ref="P102:P110" si="33">IF(ISNA(INDEX($A$37:$T$94,MATCH($B102,$B$37:$B$94,0),16)),"",INDEX($A$37:$T$94,MATCH($B102,$B$37:$B$94,0),16))</f>
        <v>13</v>
      </c>
      <c r="Q102" s="30" t="str">
        <f t="shared" ref="Q102:Q110" si="34">IF(ISNA(INDEX($A$37:$T$94,MATCH($B102,$B$37:$B$94,0),17)),"",INDEX($A$37:$T$94,MATCH($B102,$B$37:$B$94,0),17))</f>
        <v>E</v>
      </c>
      <c r="R102" s="30">
        <f t="shared" ref="R102:R110" si="35">IF(ISNA(INDEX($A$37:$T$94,MATCH($B102,$B$37:$B$94,0),18)),"",INDEX($A$37:$T$94,MATCH($B102,$B$37:$B$94,0),18))</f>
        <v>0</v>
      </c>
      <c r="S102" s="30">
        <f t="shared" ref="S102:S110" si="36">IF(ISNA(INDEX($A$37:$T$94,MATCH($B102,$B$37:$B$94,0),19)),"",INDEX($A$37:$T$94,MATCH($B102,$B$37:$B$94,0),19))</f>
        <v>0</v>
      </c>
      <c r="T102" s="21" t="s">
        <v>37</v>
      </c>
    </row>
    <row r="103" spans="1:20" x14ac:dyDescent="0.2">
      <c r="A103" s="32" t="str">
        <f t="shared" si="26"/>
        <v>MMM3012</v>
      </c>
      <c r="B103" s="123" t="s">
        <v>113</v>
      </c>
      <c r="C103" s="123"/>
      <c r="D103" s="123"/>
      <c r="E103" s="123"/>
      <c r="F103" s="123"/>
      <c r="G103" s="123"/>
      <c r="H103" s="123"/>
      <c r="I103" s="123"/>
      <c r="J103" s="20">
        <f t="shared" si="27"/>
        <v>7</v>
      </c>
      <c r="K103" s="20">
        <f t="shared" si="28"/>
        <v>2</v>
      </c>
      <c r="L103" s="20">
        <f t="shared" si="29"/>
        <v>1</v>
      </c>
      <c r="M103" s="20">
        <f t="shared" si="30"/>
        <v>2</v>
      </c>
      <c r="N103" s="20">
        <f t="shared" si="31"/>
        <v>5</v>
      </c>
      <c r="O103" s="20">
        <f t="shared" si="32"/>
        <v>8</v>
      </c>
      <c r="P103" s="20">
        <f t="shared" si="33"/>
        <v>13</v>
      </c>
      <c r="Q103" s="30">
        <f t="shared" si="34"/>
        <v>0</v>
      </c>
      <c r="R103" s="30" t="str">
        <f t="shared" si="35"/>
        <v>C</v>
      </c>
      <c r="S103" s="30">
        <f t="shared" si="36"/>
        <v>0</v>
      </c>
      <c r="T103" s="21" t="s">
        <v>37</v>
      </c>
    </row>
    <row r="104" spans="1:20" x14ac:dyDescent="0.2">
      <c r="A104" s="32" t="str">
        <f t="shared" si="26"/>
        <v>MMM3089</v>
      </c>
      <c r="B104" s="123" t="s">
        <v>115</v>
      </c>
      <c r="C104" s="123"/>
      <c r="D104" s="123"/>
      <c r="E104" s="123"/>
      <c r="F104" s="123"/>
      <c r="G104" s="123"/>
      <c r="H104" s="123"/>
      <c r="I104" s="123"/>
      <c r="J104" s="20">
        <f t="shared" si="27"/>
        <v>7</v>
      </c>
      <c r="K104" s="20">
        <f t="shared" si="28"/>
        <v>2</v>
      </c>
      <c r="L104" s="20">
        <f t="shared" si="29"/>
        <v>1</v>
      </c>
      <c r="M104" s="20">
        <f t="shared" si="30"/>
        <v>2</v>
      </c>
      <c r="N104" s="20">
        <f t="shared" si="31"/>
        <v>5</v>
      </c>
      <c r="O104" s="20">
        <f t="shared" si="32"/>
        <v>8</v>
      </c>
      <c r="P104" s="20">
        <f t="shared" si="33"/>
        <v>13</v>
      </c>
      <c r="Q104" s="30" t="str">
        <f t="shared" si="34"/>
        <v>E</v>
      </c>
      <c r="R104" s="30" t="str">
        <f t="shared" si="35"/>
        <v>C</v>
      </c>
      <c r="S104" s="30">
        <f t="shared" si="36"/>
        <v>0</v>
      </c>
      <c r="T104" s="21" t="s">
        <v>37</v>
      </c>
    </row>
    <row r="105" spans="1:20" x14ac:dyDescent="0.2">
      <c r="A105" s="32" t="str">
        <f t="shared" si="26"/>
        <v>MMM3124</v>
      </c>
      <c r="B105" s="123" t="s">
        <v>117</v>
      </c>
      <c r="C105" s="123"/>
      <c r="D105" s="123"/>
      <c r="E105" s="123"/>
      <c r="F105" s="123"/>
      <c r="G105" s="123"/>
      <c r="H105" s="123"/>
      <c r="I105" s="123"/>
      <c r="J105" s="20">
        <f t="shared" si="27"/>
        <v>6</v>
      </c>
      <c r="K105" s="20">
        <f t="shared" si="28"/>
        <v>2</v>
      </c>
      <c r="L105" s="20">
        <f t="shared" si="29"/>
        <v>1</v>
      </c>
      <c r="M105" s="20">
        <f t="shared" si="30"/>
        <v>2</v>
      </c>
      <c r="N105" s="20">
        <f t="shared" si="31"/>
        <v>5</v>
      </c>
      <c r="O105" s="20">
        <f t="shared" si="32"/>
        <v>6</v>
      </c>
      <c r="P105" s="20">
        <f t="shared" si="33"/>
        <v>11</v>
      </c>
      <c r="Q105" s="30" t="str">
        <f t="shared" si="34"/>
        <v>E</v>
      </c>
      <c r="R105" s="30">
        <f t="shared" si="35"/>
        <v>0</v>
      </c>
      <c r="S105" s="30">
        <f t="shared" si="36"/>
        <v>0</v>
      </c>
      <c r="T105" s="21" t="s">
        <v>37</v>
      </c>
    </row>
    <row r="106" spans="1:20" x14ac:dyDescent="0.2">
      <c r="A106" s="32" t="str">
        <f t="shared" si="26"/>
        <v>MMM3097</v>
      </c>
      <c r="B106" s="123" t="s">
        <v>119</v>
      </c>
      <c r="C106" s="123"/>
      <c r="D106" s="123"/>
      <c r="E106" s="123"/>
      <c r="F106" s="123"/>
      <c r="G106" s="123"/>
      <c r="H106" s="123"/>
      <c r="I106" s="123"/>
      <c r="J106" s="20">
        <f t="shared" si="27"/>
        <v>7</v>
      </c>
      <c r="K106" s="20">
        <f t="shared" si="28"/>
        <v>2</v>
      </c>
      <c r="L106" s="20">
        <f t="shared" si="29"/>
        <v>1</v>
      </c>
      <c r="M106" s="20">
        <f t="shared" si="30"/>
        <v>2</v>
      </c>
      <c r="N106" s="20">
        <f t="shared" si="31"/>
        <v>5</v>
      </c>
      <c r="O106" s="20">
        <f t="shared" si="32"/>
        <v>8</v>
      </c>
      <c r="P106" s="20">
        <f t="shared" si="33"/>
        <v>13</v>
      </c>
      <c r="Q106" s="30" t="str">
        <f t="shared" si="34"/>
        <v>E</v>
      </c>
      <c r="R106" s="30">
        <f t="shared" si="35"/>
        <v>0</v>
      </c>
      <c r="S106" s="30">
        <f t="shared" si="36"/>
        <v>0</v>
      </c>
      <c r="T106" s="21" t="s">
        <v>37</v>
      </c>
    </row>
    <row r="107" spans="1:20" x14ac:dyDescent="0.2">
      <c r="A107" s="32" t="str">
        <f t="shared" si="26"/>
        <v>MME3125</v>
      </c>
      <c r="B107" s="123" t="s">
        <v>127</v>
      </c>
      <c r="C107" s="123"/>
      <c r="D107" s="123"/>
      <c r="E107" s="123"/>
      <c r="F107" s="123"/>
      <c r="G107" s="123"/>
      <c r="H107" s="123"/>
      <c r="I107" s="123"/>
      <c r="J107" s="20">
        <f t="shared" si="27"/>
        <v>8</v>
      </c>
      <c r="K107" s="20">
        <f t="shared" si="28"/>
        <v>2</v>
      </c>
      <c r="L107" s="20">
        <f t="shared" si="29"/>
        <v>1</v>
      </c>
      <c r="M107" s="20">
        <f t="shared" si="30"/>
        <v>2</v>
      </c>
      <c r="N107" s="20">
        <f t="shared" si="31"/>
        <v>5</v>
      </c>
      <c r="O107" s="20">
        <f t="shared" si="32"/>
        <v>9</v>
      </c>
      <c r="P107" s="20">
        <f t="shared" si="33"/>
        <v>14</v>
      </c>
      <c r="Q107" s="30" t="str">
        <f t="shared" si="34"/>
        <v>E</v>
      </c>
      <c r="R107" s="30">
        <f t="shared" si="35"/>
        <v>0</v>
      </c>
      <c r="S107" s="30">
        <f t="shared" si="36"/>
        <v>0</v>
      </c>
      <c r="T107" s="21" t="s">
        <v>37</v>
      </c>
    </row>
    <row r="108" spans="1:20" x14ac:dyDescent="0.2">
      <c r="A108" s="32" t="str">
        <f t="shared" si="26"/>
        <v>MMM3033</v>
      </c>
      <c r="B108" s="123" t="s">
        <v>129</v>
      </c>
      <c r="C108" s="123"/>
      <c r="D108" s="123"/>
      <c r="E108" s="123"/>
      <c r="F108" s="123"/>
      <c r="G108" s="123"/>
      <c r="H108" s="123"/>
      <c r="I108" s="123"/>
      <c r="J108" s="20">
        <f t="shared" si="27"/>
        <v>8</v>
      </c>
      <c r="K108" s="20">
        <f t="shared" si="28"/>
        <v>2</v>
      </c>
      <c r="L108" s="20">
        <f t="shared" si="29"/>
        <v>1</v>
      </c>
      <c r="M108" s="20">
        <f t="shared" si="30"/>
        <v>2</v>
      </c>
      <c r="N108" s="20">
        <f t="shared" si="31"/>
        <v>5</v>
      </c>
      <c r="O108" s="20">
        <f t="shared" si="32"/>
        <v>9</v>
      </c>
      <c r="P108" s="20">
        <f t="shared" si="33"/>
        <v>14</v>
      </c>
      <c r="Q108" s="30" t="str">
        <f t="shared" si="34"/>
        <v>E</v>
      </c>
      <c r="R108" s="30">
        <f t="shared" si="35"/>
        <v>0</v>
      </c>
      <c r="S108" s="30">
        <f t="shared" si="36"/>
        <v>0</v>
      </c>
      <c r="T108" s="21" t="s">
        <v>37</v>
      </c>
    </row>
    <row r="109" spans="1:20" x14ac:dyDescent="0.2">
      <c r="A109" s="32" t="str">
        <f t="shared" si="26"/>
        <v>MME3057</v>
      </c>
      <c r="B109" s="123" t="s">
        <v>131</v>
      </c>
      <c r="C109" s="123"/>
      <c r="D109" s="123"/>
      <c r="E109" s="123"/>
      <c r="F109" s="123"/>
      <c r="G109" s="123"/>
      <c r="H109" s="123"/>
      <c r="I109" s="123"/>
      <c r="J109" s="20">
        <f t="shared" si="27"/>
        <v>7</v>
      </c>
      <c r="K109" s="20">
        <f t="shared" si="28"/>
        <v>2</v>
      </c>
      <c r="L109" s="20">
        <f t="shared" si="29"/>
        <v>1</v>
      </c>
      <c r="M109" s="20">
        <f t="shared" si="30"/>
        <v>2</v>
      </c>
      <c r="N109" s="20">
        <f t="shared" si="31"/>
        <v>5</v>
      </c>
      <c r="O109" s="20">
        <f t="shared" si="32"/>
        <v>8</v>
      </c>
      <c r="P109" s="20">
        <f t="shared" si="33"/>
        <v>13</v>
      </c>
      <c r="Q109" s="30">
        <f t="shared" si="34"/>
        <v>0</v>
      </c>
      <c r="R109" s="30" t="str">
        <f t="shared" si="35"/>
        <v>C</v>
      </c>
      <c r="S109" s="30">
        <f t="shared" si="36"/>
        <v>0</v>
      </c>
      <c r="T109" s="21" t="s">
        <v>37</v>
      </c>
    </row>
    <row r="110" spans="1:20" x14ac:dyDescent="0.2">
      <c r="A110" s="32" t="str">
        <f t="shared" si="26"/>
        <v>MMM3093</v>
      </c>
      <c r="B110" s="123" t="s">
        <v>133</v>
      </c>
      <c r="C110" s="123"/>
      <c r="D110" s="123"/>
      <c r="E110" s="123"/>
      <c r="F110" s="123"/>
      <c r="G110" s="123"/>
      <c r="H110" s="123"/>
      <c r="I110" s="123"/>
      <c r="J110" s="20">
        <f t="shared" si="27"/>
        <v>7</v>
      </c>
      <c r="K110" s="20">
        <f t="shared" si="28"/>
        <v>2</v>
      </c>
      <c r="L110" s="20">
        <f t="shared" si="29"/>
        <v>1</v>
      </c>
      <c r="M110" s="20">
        <f t="shared" si="30"/>
        <v>2</v>
      </c>
      <c r="N110" s="20">
        <f t="shared" si="31"/>
        <v>5</v>
      </c>
      <c r="O110" s="20">
        <f t="shared" si="32"/>
        <v>8</v>
      </c>
      <c r="P110" s="20">
        <f t="shared" si="33"/>
        <v>13</v>
      </c>
      <c r="Q110" s="30">
        <f t="shared" si="34"/>
        <v>0</v>
      </c>
      <c r="R110" s="30" t="str">
        <f t="shared" si="35"/>
        <v>C</v>
      </c>
      <c r="S110" s="30">
        <f t="shared" si="36"/>
        <v>0</v>
      </c>
      <c r="T110" s="21" t="s">
        <v>37</v>
      </c>
    </row>
    <row r="111" spans="1:20" x14ac:dyDescent="0.2">
      <c r="A111" s="22" t="s">
        <v>25</v>
      </c>
      <c r="B111" s="108"/>
      <c r="C111" s="109"/>
      <c r="D111" s="109"/>
      <c r="E111" s="109"/>
      <c r="F111" s="109"/>
      <c r="G111" s="109"/>
      <c r="H111" s="109"/>
      <c r="I111" s="110"/>
      <c r="J111" s="24">
        <f>IF(ISNA(SUM(J102:J110)),"",SUM(J102:J110))</f>
        <v>64</v>
      </c>
      <c r="K111" s="24">
        <f t="shared" ref="K111:P111" si="37">SUM(K102:K110)</f>
        <v>18</v>
      </c>
      <c r="L111" s="24">
        <f t="shared" si="37"/>
        <v>9</v>
      </c>
      <c r="M111" s="24">
        <f t="shared" si="37"/>
        <v>18</v>
      </c>
      <c r="N111" s="24">
        <f t="shared" si="37"/>
        <v>45</v>
      </c>
      <c r="O111" s="24">
        <f t="shared" si="37"/>
        <v>72</v>
      </c>
      <c r="P111" s="24">
        <f t="shared" si="37"/>
        <v>117</v>
      </c>
      <c r="Q111" s="22">
        <f>COUNTIF(Q102:Q110,"E")</f>
        <v>6</v>
      </c>
      <c r="R111" s="22">
        <f>COUNTIF(R102:R110,"C")</f>
        <v>4</v>
      </c>
      <c r="S111" s="22">
        <f>COUNTIF(S102:S110,"VP")</f>
        <v>0</v>
      </c>
      <c r="T111" s="21"/>
    </row>
    <row r="112" spans="1:20" ht="17.25" customHeight="1" x14ac:dyDescent="0.2">
      <c r="A112" s="98" t="s">
        <v>63</v>
      </c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100"/>
    </row>
    <row r="113" spans="1:20" x14ac:dyDescent="0.2">
      <c r="A113" s="32" t="str">
        <f>IF(ISNA(INDEX($A$37:$T$94,MATCH($B113,$B$37:$B$94,0),1)),"",INDEX($A$37:$T$94,MATCH($B113,$B$37:$B$94,0),1))</f>
        <v>MMM3037</v>
      </c>
      <c r="B113" s="123" t="s">
        <v>135</v>
      </c>
      <c r="C113" s="123"/>
      <c r="D113" s="123"/>
      <c r="E113" s="123"/>
      <c r="F113" s="123"/>
      <c r="G113" s="123"/>
      <c r="H113" s="123"/>
      <c r="I113" s="123"/>
      <c r="J113" s="20">
        <f>IF(ISNA(INDEX($A$37:$T$94,MATCH($B113,$B$37:$B$94,0),10)),"",INDEX($A$37:$T$94,MATCH($B113,$B$37:$B$94,0),10))</f>
        <v>7</v>
      </c>
      <c r="K113" s="20">
        <f>IF(ISNA(INDEX($A$37:$T$94,MATCH($B113,$B$37:$B$94,0),11)),"",INDEX($A$37:$T$94,MATCH($B113,$B$37:$B$94,0),11))</f>
        <v>2</v>
      </c>
      <c r="L113" s="20">
        <f>IF(ISNA(INDEX($A$37:$T$94,MATCH($B113,$B$37:$B$94,0),12)),"",INDEX($A$37:$T$94,MATCH($B113,$B$37:$B$94,0),12))</f>
        <v>1</v>
      </c>
      <c r="M113" s="20">
        <f>IF(ISNA(INDEX($A$37:$T$94,MATCH($B113,$B$37:$B$94,0),13)),"",INDEX($A$37:$T$94,MATCH($B113,$B$37:$B$94,0),13))</f>
        <v>2</v>
      </c>
      <c r="N113" s="20">
        <f>IF(ISNA(INDEX($A$37:$T$94,MATCH($B113,$B$37:$B$94,0),14)),"",INDEX($A$37:$T$94,MATCH($B113,$B$37:$B$94,0),14))</f>
        <v>5</v>
      </c>
      <c r="O113" s="20">
        <f>IF(ISNA(INDEX($A$37:$T$94,MATCH($B113,$B$37:$B$94,0),15)),"",INDEX($A$37:$T$94,MATCH($B113,$B$37:$B$94,0),15))</f>
        <v>10</v>
      </c>
      <c r="P113" s="20">
        <f>IF(ISNA(INDEX($A$37:$T$94,MATCH($B113,$B$37:$B$94,0),16)),"",INDEX($A$37:$T$94,MATCH($B113,$B$37:$B$94,0),16))</f>
        <v>15</v>
      </c>
      <c r="Q113" s="30">
        <f>IF(ISNA(INDEX($A$37:$T$94,MATCH($B113,$B$37:$B$94,0),17)),"",INDEX($A$37:$T$94,MATCH($B113,$B$37:$B$94,0),17))</f>
        <v>0</v>
      </c>
      <c r="R113" s="30" t="str">
        <f>IF(ISNA(INDEX($A$37:$T$94,MATCH($B113,$B$37:$B$94,0),18)),"",INDEX($A$37:$T$94,MATCH($B113,$B$37:$B$94,0),18))</f>
        <v>C</v>
      </c>
      <c r="S113" s="30">
        <f>IF(ISNA(INDEX($A$37:$T$94,MATCH($B113,$B$37:$B$94,0),19)),"",INDEX($A$37:$T$94,MATCH($B113,$B$37:$B$94,0),19))</f>
        <v>0</v>
      </c>
      <c r="T113" s="21" t="s">
        <v>37</v>
      </c>
    </row>
    <row r="114" spans="1:20" x14ac:dyDescent="0.2">
      <c r="A114" s="22" t="s">
        <v>25</v>
      </c>
      <c r="B114" s="85"/>
      <c r="C114" s="85"/>
      <c r="D114" s="85"/>
      <c r="E114" s="85"/>
      <c r="F114" s="85"/>
      <c r="G114" s="85"/>
      <c r="H114" s="85"/>
      <c r="I114" s="85"/>
      <c r="J114" s="24">
        <f t="shared" ref="J114:P114" si="38">SUM(J113:J113)</f>
        <v>7</v>
      </c>
      <c r="K114" s="24">
        <f t="shared" si="38"/>
        <v>2</v>
      </c>
      <c r="L114" s="24">
        <f t="shared" si="38"/>
        <v>1</v>
      </c>
      <c r="M114" s="24">
        <f t="shared" si="38"/>
        <v>2</v>
      </c>
      <c r="N114" s="24">
        <f t="shared" si="38"/>
        <v>5</v>
      </c>
      <c r="O114" s="24">
        <f t="shared" si="38"/>
        <v>10</v>
      </c>
      <c r="P114" s="24">
        <f t="shared" si="38"/>
        <v>15</v>
      </c>
      <c r="Q114" s="22">
        <f>COUNTIF(Q113:Q113,"E")</f>
        <v>0</v>
      </c>
      <c r="R114" s="22">
        <f>COUNTIF(R113:R113,"C")</f>
        <v>1</v>
      </c>
      <c r="S114" s="22">
        <f>COUNTIF(S113:S113,"VP")</f>
        <v>0</v>
      </c>
      <c r="T114" s="23"/>
    </row>
    <row r="115" spans="1:20" ht="27" customHeight="1" x14ac:dyDescent="0.2">
      <c r="A115" s="130" t="s">
        <v>73</v>
      </c>
      <c r="B115" s="131"/>
      <c r="C115" s="131"/>
      <c r="D115" s="131"/>
      <c r="E115" s="131"/>
      <c r="F115" s="131"/>
      <c r="G115" s="131"/>
      <c r="H115" s="131"/>
      <c r="I115" s="132"/>
      <c r="J115" s="24">
        <f t="shared" ref="J115:S115" si="39">SUM(J111,J114)</f>
        <v>71</v>
      </c>
      <c r="K115" s="24">
        <f t="shared" si="39"/>
        <v>20</v>
      </c>
      <c r="L115" s="24">
        <f t="shared" si="39"/>
        <v>10</v>
      </c>
      <c r="M115" s="24">
        <f t="shared" si="39"/>
        <v>20</v>
      </c>
      <c r="N115" s="24">
        <f t="shared" si="39"/>
        <v>50</v>
      </c>
      <c r="O115" s="24">
        <f t="shared" si="39"/>
        <v>82</v>
      </c>
      <c r="P115" s="24">
        <f t="shared" si="39"/>
        <v>132</v>
      </c>
      <c r="Q115" s="24">
        <f t="shared" si="39"/>
        <v>6</v>
      </c>
      <c r="R115" s="24">
        <f t="shared" si="39"/>
        <v>5</v>
      </c>
      <c r="S115" s="24">
        <f t="shared" si="39"/>
        <v>0</v>
      </c>
      <c r="T115" s="29"/>
    </row>
    <row r="116" spans="1:20" x14ac:dyDescent="0.2">
      <c r="A116" s="111" t="s">
        <v>48</v>
      </c>
      <c r="B116" s="112"/>
      <c r="C116" s="112"/>
      <c r="D116" s="112"/>
      <c r="E116" s="112"/>
      <c r="F116" s="112"/>
      <c r="G116" s="112"/>
      <c r="H116" s="112"/>
      <c r="I116" s="112"/>
      <c r="J116" s="113"/>
      <c r="K116" s="24">
        <f t="shared" ref="K116:P116" si="40">K111*14+K114*12</f>
        <v>276</v>
      </c>
      <c r="L116" s="24">
        <f t="shared" si="40"/>
        <v>138</v>
      </c>
      <c r="M116" s="24">
        <f t="shared" si="40"/>
        <v>276</v>
      </c>
      <c r="N116" s="24">
        <f t="shared" si="40"/>
        <v>690</v>
      </c>
      <c r="O116" s="24">
        <f t="shared" si="40"/>
        <v>1128</v>
      </c>
      <c r="P116" s="24">
        <f t="shared" si="40"/>
        <v>1818</v>
      </c>
      <c r="Q116" s="117"/>
      <c r="R116" s="118"/>
      <c r="S116" s="118"/>
      <c r="T116" s="119"/>
    </row>
    <row r="117" spans="1:20" x14ac:dyDescent="0.2">
      <c r="A117" s="114"/>
      <c r="B117" s="115"/>
      <c r="C117" s="115"/>
      <c r="D117" s="115"/>
      <c r="E117" s="115"/>
      <c r="F117" s="115"/>
      <c r="G117" s="115"/>
      <c r="H117" s="115"/>
      <c r="I117" s="115"/>
      <c r="J117" s="116"/>
      <c r="K117" s="127">
        <f>SUM(K116:M116)</f>
        <v>690</v>
      </c>
      <c r="L117" s="128"/>
      <c r="M117" s="129"/>
      <c r="N117" s="124">
        <f>SUM(N116:O116)</f>
        <v>1818</v>
      </c>
      <c r="O117" s="125"/>
      <c r="P117" s="126"/>
      <c r="Q117" s="120"/>
      <c r="R117" s="121"/>
      <c r="S117" s="121"/>
      <c r="T117" s="122"/>
    </row>
    <row r="119" spans="1:20" x14ac:dyDescent="0.2">
      <c r="B119" s="2"/>
      <c r="C119" s="2"/>
      <c r="D119" s="2"/>
      <c r="E119" s="2"/>
      <c r="F119" s="2"/>
      <c r="G119" s="2"/>
      <c r="M119" s="8"/>
      <c r="N119" s="8"/>
      <c r="O119" s="8"/>
      <c r="P119" s="8"/>
      <c r="Q119" s="8"/>
      <c r="R119" s="8"/>
      <c r="S119" s="8"/>
    </row>
    <row r="120" spans="1:20" x14ac:dyDescent="0.2">
      <c r="B120" s="8"/>
      <c r="C120" s="8"/>
      <c r="D120" s="8"/>
      <c r="E120" s="8"/>
      <c r="F120" s="8"/>
      <c r="G120" s="8"/>
      <c r="H120" s="17"/>
      <c r="I120" s="17"/>
      <c r="J120" s="17"/>
      <c r="M120" s="8"/>
      <c r="N120" s="8"/>
      <c r="O120" s="8"/>
      <c r="P120" s="8"/>
      <c r="Q120" s="8"/>
      <c r="R120" s="8"/>
      <c r="S120" s="8"/>
    </row>
    <row r="122" spans="1:20" ht="28.5" customHeight="1" x14ac:dyDescent="0.2">
      <c r="A122" s="101" t="s">
        <v>102</v>
      </c>
      <c r="B122" s="173"/>
      <c r="C122" s="173"/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</row>
    <row r="123" spans="1:20" ht="27.75" customHeight="1" x14ac:dyDescent="0.2">
      <c r="A123" s="85" t="s">
        <v>27</v>
      </c>
      <c r="B123" s="85" t="s">
        <v>26</v>
      </c>
      <c r="C123" s="85"/>
      <c r="D123" s="85"/>
      <c r="E123" s="85"/>
      <c r="F123" s="85"/>
      <c r="G123" s="85"/>
      <c r="H123" s="85"/>
      <c r="I123" s="85"/>
      <c r="J123" s="78" t="s">
        <v>40</v>
      </c>
      <c r="K123" s="78" t="s">
        <v>24</v>
      </c>
      <c r="L123" s="78"/>
      <c r="M123" s="78"/>
      <c r="N123" s="78" t="s">
        <v>41</v>
      </c>
      <c r="O123" s="78"/>
      <c r="P123" s="78"/>
      <c r="Q123" s="78" t="s">
        <v>23</v>
      </c>
      <c r="R123" s="78"/>
      <c r="S123" s="78"/>
      <c r="T123" s="78" t="s">
        <v>22</v>
      </c>
    </row>
    <row r="124" spans="1:20" ht="16.5" customHeight="1" x14ac:dyDescent="0.2">
      <c r="A124" s="85"/>
      <c r="B124" s="85"/>
      <c r="C124" s="85"/>
      <c r="D124" s="85"/>
      <c r="E124" s="85"/>
      <c r="F124" s="85"/>
      <c r="G124" s="85"/>
      <c r="H124" s="85"/>
      <c r="I124" s="85"/>
      <c r="J124" s="78"/>
      <c r="K124" s="31" t="s">
        <v>28</v>
      </c>
      <c r="L124" s="31" t="s">
        <v>29</v>
      </c>
      <c r="M124" s="31" t="s">
        <v>30</v>
      </c>
      <c r="N124" s="31" t="s">
        <v>34</v>
      </c>
      <c r="O124" s="31" t="s">
        <v>7</v>
      </c>
      <c r="P124" s="31" t="s">
        <v>31</v>
      </c>
      <c r="Q124" s="31" t="s">
        <v>32</v>
      </c>
      <c r="R124" s="31" t="s">
        <v>28</v>
      </c>
      <c r="S124" s="31" t="s">
        <v>33</v>
      </c>
      <c r="T124" s="78"/>
    </row>
    <row r="125" spans="1:20" ht="17.25" customHeight="1" x14ac:dyDescent="0.2">
      <c r="A125" s="98" t="s">
        <v>62</v>
      </c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100"/>
    </row>
    <row r="126" spans="1:20" x14ac:dyDescent="0.2">
      <c r="A126" s="32" t="str">
        <f t="shared" ref="A126:A128" si="41">IF(ISNA(INDEX($A$37:$T$94,MATCH($B126,$B$37:$B$94,0),1)),"",INDEX($A$37:$T$94,MATCH($B126,$B$37:$B$94,0),1))</f>
        <v>MMM3088</v>
      </c>
      <c r="B126" s="123" t="s">
        <v>107</v>
      </c>
      <c r="C126" s="123"/>
      <c r="D126" s="123"/>
      <c r="E126" s="123"/>
      <c r="F126" s="123"/>
      <c r="G126" s="123"/>
      <c r="H126" s="123"/>
      <c r="I126" s="123"/>
      <c r="J126" s="20">
        <f t="shared" ref="J126:J128" si="42">IF(ISNA(INDEX($A$37:$T$94,MATCH($B126,$B$37:$B$94,0),10)),"",INDEX($A$37:$T$94,MATCH($B126,$B$37:$B$94,0),10))</f>
        <v>8</v>
      </c>
      <c r="K126" s="20">
        <f t="shared" ref="K126:K128" si="43">IF(ISNA(INDEX($A$37:$T$94,MATCH($B126,$B$37:$B$94,0),11)),"",INDEX($A$37:$T$94,MATCH($B126,$B$37:$B$94,0),11))</f>
        <v>2</v>
      </c>
      <c r="L126" s="20">
        <f t="shared" ref="L126:L128" si="44">IF(ISNA(INDEX($A$37:$T$94,MATCH($B126,$B$37:$B$94,0),12)),"",INDEX($A$37:$T$94,MATCH($B126,$B$37:$B$94,0),12))</f>
        <v>1</v>
      </c>
      <c r="M126" s="20">
        <f t="shared" ref="M126:M128" si="45">IF(ISNA(INDEX($A$37:$T$94,MATCH($B126,$B$37:$B$94,0),13)),"",INDEX($A$37:$T$94,MATCH($B126,$B$37:$B$94,0),13))</f>
        <v>2</v>
      </c>
      <c r="N126" s="20">
        <f t="shared" ref="N126:N128" si="46">IF(ISNA(INDEX($A$37:$T$94,MATCH($B126,$B$37:$B$94,0),14)),"",INDEX($A$37:$T$94,MATCH($B126,$B$37:$B$94,0),14))</f>
        <v>5</v>
      </c>
      <c r="O126" s="20">
        <f t="shared" ref="O126:O128" si="47">IF(ISNA(INDEX($A$37:$T$94,MATCH($B126,$B$37:$B$94,0),15)),"",INDEX($A$37:$T$94,MATCH($B126,$B$37:$B$94,0),15))</f>
        <v>9</v>
      </c>
      <c r="P126" s="20">
        <f t="shared" ref="P126:P128" si="48">IF(ISNA(INDEX($A$37:$T$94,MATCH($B126,$B$37:$B$94,0),16)),"",INDEX($A$37:$T$94,MATCH($B126,$B$37:$B$94,0),16))</f>
        <v>14</v>
      </c>
      <c r="Q126" s="30">
        <f t="shared" ref="Q126:Q128" si="49">IF(ISNA(INDEX($A$37:$T$94,MATCH($B126,$B$37:$B$94,0),17)),"",INDEX($A$37:$T$94,MATCH($B126,$B$37:$B$94,0),17))</f>
        <v>0</v>
      </c>
      <c r="R126" s="30">
        <f t="shared" ref="R126:R128" si="50">IF(ISNA(INDEX($A$37:$T$94,MATCH($B126,$B$37:$B$94,0),18)),"",INDEX($A$37:$T$94,MATCH($B126,$B$37:$B$94,0),18))</f>
        <v>0</v>
      </c>
      <c r="S126" s="30" t="str">
        <f t="shared" ref="S126:S128" si="51">IF(ISNA(INDEX($A$37:$T$94,MATCH($B126,$B$37:$B$94,0),19)),"",INDEX($A$37:$T$94,MATCH($B126,$B$37:$B$94,0),19))</f>
        <v>VP</v>
      </c>
      <c r="T126" s="21" t="s">
        <v>38</v>
      </c>
    </row>
    <row r="127" spans="1:20" x14ac:dyDescent="0.2">
      <c r="A127" s="32" t="str">
        <f t="shared" si="41"/>
        <v>MMM9012</v>
      </c>
      <c r="B127" s="123" t="s">
        <v>125</v>
      </c>
      <c r="C127" s="123"/>
      <c r="D127" s="123"/>
      <c r="E127" s="123"/>
      <c r="F127" s="123"/>
      <c r="G127" s="123"/>
      <c r="H127" s="123"/>
      <c r="I127" s="123"/>
      <c r="J127" s="20">
        <f t="shared" si="42"/>
        <v>4</v>
      </c>
      <c r="K127" s="20">
        <f t="shared" si="43"/>
        <v>0</v>
      </c>
      <c r="L127" s="20">
        <f t="shared" si="44"/>
        <v>0</v>
      </c>
      <c r="M127" s="20">
        <f t="shared" si="45"/>
        <v>3</v>
      </c>
      <c r="N127" s="20">
        <f t="shared" si="46"/>
        <v>3</v>
      </c>
      <c r="O127" s="20">
        <f t="shared" si="47"/>
        <v>4</v>
      </c>
      <c r="P127" s="20">
        <f t="shared" si="48"/>
        <v>7</v>
      </c>
      <c r="Q127" s="30">
        <f t="shared" si="49"/>
        <v>0</v>
      </c>
      <c r="R127" s="30">
        <f t="shared" si="50"/>
        <v>0</v>
      </c>
      <c r="S127" s="30" t="str">
        <f t="shared" si="51"/>
        <v>VP</v>
      </c>
      <c r="T127" s="21" t="s">
        <v>38</v>
      </c>
    </row>
    <row r="128" spans="1:20" x14ac:dyDescent="0.2">
      <c r="A128" s="32" t="str">
        <f t="shared" si="41"/>
        <v>MMX4601</v>
      </c>
      <c r="B128" s="123" t="s">
        <v>123</v>
      </c>
      <c r="C128" s="123"/>
      <c r="D128" s="123"/>
      <c r="E128" s="123"/>
      <c r="F128" s="123"/>
      <c r="G128" s="123"/>
      <c r="H128" s="123"/>
      <c r="I128" s="123"/>
      <c r="J128" s="20">
        <f t="shared" si="42"/>
        <v>6</v>
      </c>
      <c r="K128" s="20">
        <f t="shared" si="43"/>
        <v>2</v>
      </c>
      <c r="L128" s="20">
        <f t="shared" si="44"/>
        <v>1</v>
      </c>
      <c r="M128" s="20">
        <f t="shared" si="45"/>
        <v>2</v>
      </c>
      <c r="N128" s="20">
        <f t="shared" si="46"/>
        <v>5</v>
      </c>
      <c r="O128" s="20">
        <f t="shared" si="47"/>
        <v>6</v>
      </c>
      <c r="P128" s="20">
        <f t="shared" si="48"/>
        <v>11</v>
      </c>
      <c r="Q128" s="30">
        <f t="shared" si="49"/>
        <v>0</v>
      </c>
      <c r="R128" s="30" t="str">
        <f t="shared" si="50"/>
        <v>C</v>
      </c>
      <c r="S128" s="30">
        <f t="shared" si="51"/>
        <v>0</v>
      </c>
      <c r="T128" s="21" t="s">
        <v>38</v>
      </c>
    </row>
    <row r="129" spans="1:20" x14ac:dyDescent="0.2">
      <c r="A129" s="22" t="s">
        <v>25</v>
      </c>
      <c r="B129" s="108"/>
      <c r="C129" s="109"/>
      <c r="D129" s="109"/>
      <c r="E129" s="109"/>
      <c r="F129" s="109"/>
      <c r="G129" s="109"/>
      <c r="H129" s="109"/>
      <c r="I129" s="110"/>
      <c r="J129" s="24">
        <f t="shared" ref="J129:P129" si="52">SUM(J126:J128)</f>
        <v>18</v>
      </c>
      <c r="K129" s="24">
        <f t="shared" si="52"/>
        <v>4</v>
      </c>
      <c r="L129" s="24">
        <f t="shared" si="52"/>
        <v>2</v>
      </c>
      <c r="M129" s="24">
        <f t="shared" si="52"/>
        <v>7</v>
      </c>
      <c r="N129" s="24">
        <f t="shared" si="52"/>
        <v>13</v>
      </c>
      <c r="O129" s="24">
        <f t="shared" si="52"/>
        <v>19</v>
      </c>
      <c r="P129" s="24">
        <f t="shared" si="52"/>
        <v>32</v>
      </c>
      <c r="Q129" s="22">
        <f>COUNTIF(Q126:Q128,"E")</f>
        <v>0</v>
      </c>
      <c r="R129" s="22">
        <f>COUNTIF(R126:R128,"C")</f>
        <v>1</v>
      </c>
      <c r="S129" s="22">
        <f>COUNTIF(S126:S128,"VP")</f>
        <v>2</v>
      </c>
      <c r="T129" s="19"/>
    </row>
    <row r="130" spans="1:20" ht="18.75" customHeight="1" x14ac:dyDescent="0.2">
      <c r="A130" s="98" t="s">
        <v>63</v>
      </c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100"/>
    </row>
    <row r="131" spans="1:20" x14ac:dyDescent="0.2">
      <c r="A131" s="32" t="str">
        <f>IF(ISNA(INDEX($A$37:$T$94,MATCH($B131,$B$37:$B$94,0),1)),"",INDEX($A$37:$T$94,MATCH($B131,$B$37:$B$94,0),1))</f>
        <v>MMM3069</v>
      </c>
      <c r="B131" s="123" t="s">
        <v>139</v>
      </c>
      <c r="C131" s="123"/>
      <c r="D131" s="123"/>
      <c r="E131" s="123"/>
      <c r="F131" s="123"/>
      <c r="G131" s="123"/>
      <c r="H131" s="123"/>
      <c r="I131" s="123"/>
      <c r="J131" s="20">
        <f>IF(ISNA(INDEX($A$37:$T$94,MATCH($B131,$B$37:$B$94,0),10)),"",INDEX($A$37:$T$94,MATCH($B131,$B$37:$B$94,0),10))</f>
        <v>6</v>
      </c>
      <c r="K131" s="20">
        <f>IF(ISNA(INDEX($A$37:$T$94,MATCH($B131,$B$37:$B$94,0),11)),"",INDEX($A$37:$T$94,MATCH($B131,$B$37:$B$94,0),11))</f>
        <v>2</v>
      </c>
      <c r="L131" s="20">
        <f>IF(ISNA(INDEX($A$37:$T$94,MATCH($B131,$B$37:$B$94,0),12)),"",INDEX($A$37:$T$94,MATCH($B131,$B$37:$B$94,0),12))</f>
        <v>1</v>
      </c>
      <c r="M131" s="20">
        <f>IF(ISNA(INDEX($A$37:$T$94,MATCH($B131,$B$37:$B$94,0),13)),"",INDEX($A$37:$T$94,MATCH($B131,$B$37:$B$94,0),13))</f>
        <v>2</v>
      </c>
      <c r="N131" s="20">
        <f>IF(ISNA(INDEX($A$37:$T$94,MATCH($B131,$B$37:$B$94,0),14)),"",INDEX($A$37:$T$94,MATCH($B131,$B$37:$B$94,0),14))</f>
        <v>5</v>
      </c>
      <c r="O131" s="20">
        <f>IF(ISNA(INDEX($A$37:$T$94,MATCH($B131,$B$37:$B$94,0),15)),"",INDEX($A$37:$T$94,MATCH($B131,$B$37:$B$94,0),15))</f>
        <v>8</v>
      </c>
      <c r="P131" s="20">
        <f>IF(ISNA(INDEX($A$37:$T$94,MATCH($B131,$B$37:$B$94,0),16)),"",INDEX($A$37:$T$94,MATCH($B131,$B$37:$B$94,0),16))</f>
        <v>13</v>
      </c>
      <c r="Q131" s="30" t="str">
        <f>IF(ISNA(INDEX($A$37:$T$94,MATCH($B131,$B$37:$B$94,0),17)),"",INDEX($A$37:$T$94,MATCH($B131,$B$37:$B$94,0),17))</f>
        <v>E</v>
      </c>
      <c r="R131" s="30">
        <f>IF(ISNA(INDEX($A$37:$T$94,MATCH($B131,$B$37:$B$94,0),18)),"",INDEX($A$37:$T$94,MATCH($B131,$B$37:$B$94,0),18))</f>
        <v>0</v>
      </c>
      <c r="S131" s="30">
        <f>IF(ISNA(INDEX($A$37:$T$94,MATCH($B131,$B$37:$B$94,0),19)),"",INDEX($A$37:$T$94,MATCH($B131,$B$37:$B$94,0),19))</f>
        <v>0</v>
      </c>
      <c r="T131" s="21" t="s">
        <v>38</v>
      </c>
    </row>
    <row r="132" spans="1:20" x14ac:dyDescent="0.2">
      <c r="A132" s="32" t="str">
        <f>IF(ISNA(INDEX($A$37:$T$94,MATCH($B132,$B$37:$B$94,0),1)),"",INDEX($A$37:$T$94,MATCH($B132,$B$37:$B$94,0),1))</f>
        <v>MMX4602</v>
      </c>
      <c r="B132" s="123" t="s">
        <v>141</v>
      </c>
      <c r="C132" s="123"/>
      <c r="D132" s="123"/>
      <c r="E132" s="123"/>
      <c r="F132" s="123"/>
      <c r="G132" s="123"/>
      <c r="H132" s="123"/>
      <c r="I132" s="123"/>
      <c r="J132" s="20">
        <f>IF(ISNA(INDEX($A$37:$T$94,MATCH($B132,$B$37:$B$94,0),10)),"",INDEX($A$37:$T$94,MATCH($B132,$B$37:$B$94,0),10))</f>
        <v>6</v>
      </c>
      <c r="K132" s="20">
        <f>IF(ISNA(INDEX($A$37:$T$94,MATCH($B132,$B$37:$B$94,0),11)),"",INDEX($A$37:$T$94,MATCH($B132,$B$37:$B$94,0),11))</f>
        <v>2</v>
      </c>
      <c r="L132" s="20">
        <f>IF(ISNA(INDEX($A$37:$T$94,MATCH($B132,$B$37:$B$94,0),12)),"",INDEX($A$37:$T$94,MATCH($B132,$B$37:$B$94,0),12))</f>
        <v>1</v>
      </c>
      <c r="M132" s="20">
        <f>IF(ISNA(INDEX($A$37:$T$94,MATCH($B132,$B$37:$B$94,0),13)),"",INDEX($A$37:$T$94,MATCH($B132,$B$37:$B$94,0),13))</f>
        <v>2</v>
      </c>
      <c r="N132" s="20">
        <f>IF(ISNA(INDEX($A$37:$T$94,MATCH($B132,$B$37:$B$94,0),14)),"",INDEX($A$37:$T$94,MATCH($B132,$B$37:$B$94,0),14))</f>
        <v>5</v>
      </c>
      <c r="O132" s="20">
        <f>IF(ISNA(INDEX($A$37:$T$94,MATCH($B132,$B$37:$B$94,0),15)),"",INDEX($A$37:$T$94,MATCH($B132,$B$37:$B$94,0),15))</f>
        <v>8</v>
      </c>
      <c r="P132" s="20">
        <f>IF(ISNA(INDEX($A$37:$T$94,MATCH($B132,$B$37:$B$94,0),16)),"",INDEX($A$37:$T$94,MATCH($B132,$B$37:$B$94,0),16))</f>
        <v>13</v>
      </c>
      <c r="Q132" s="30" t="str">
        <f>IF(ISNA(INDEX($A$37:$T$94,MATCH($B132,$B$37:$B$94,0),17)),"",INDEX($A$37:$T$94,MATCH($B132,$B$37:$B$94,0),17))</f>
        <v>E</v>
      </c>
      <c r="R132" s="30">
        <f>IF(ISNA(INDEX($A$37:$T$94,MATCH($B132,$B$37:$B$94,0),18)),"",INDEX($A$37:$T$94,MATCH($B132,$B$37:$B$94,0),18))</f>
        <v>0</v>
      </c>
      <c r="S132" s="30">
        <f>IF(ISNA(INDEX($A$37:$T$94,MATCH($B132,$B$37:$B$94,0),19)),"",INDEX($A$37:$T$94,MATCH($B132,$B$37:$B$94,0),19))</f>
        <v>0</v>
      </c>
      <c r="T132" s="21" t="s">
        <v>38</v>
      </c>
    </row>
    <row r="133" spans="1:20" x14ac:dyDescent="0.2">
      <c r="A133" s="32" t="str">
        <f>IF(ISNA(INDEX($A$37:$T$94,MATCH($B133,$B$37:$B$94,0),1)),"",INDEX($A$37:$T$94,MATCH($B133,$B$37:$B$94,0),1))</f>
        <v>MMM3402</v>
      </c>
      <c r="B133" s="123" t="s">
        <v>121</v>
      </c>
      <c r="C133" s="123"/>
      <c r="D133" s="123"/>
      <c r="E133" s="123"/>
      <c r="F133" s="123"/>
      <c r="G133" s="123"/>
      <c r="H133" s="123"/>
      <c r="I133" s="123"/>
      <c r="J133" s="20">
        <f>IF(ISNA(INDEX($A$37:$T$94,MATCH($B133,$B$37:$B$94,0),10)),"",INDEX($A$37:$T$94,MATCH($B133,$B$37:$B$94,0),10))</f>
        <v>4</v>
      </c>
      <c r="K133" s="20">
        <f>IF(ISNA(INDEX($A$37:$T$94,MATCH($B133,$B$37:$B$94,0),11)),"",INDEX($A$37:$T$94,MATCH($B133,$B$37:$B$94,0),11))</f>
        <v>0</v>
      </c>
      <c r="L133" s="20">
        <f>IF(ISNA(INDEX($A$37:$T$94,MATCH($B133,$B$37:$B$94,0),12)),"",INDEX($A$37:$T$94,MATCH($B133,$B$37:$B$94,0),12))</f>
        <v>0</v>
      </c>
      <c r="M133" s="20">
        <f>IF(ISNA(INDEX($A$37:$T$94,MATCH($B133,$B$37:$B$94,0),13)),"",INDEX($A$37:$T$94,MATCH($B133,$B$37:$B$94,0),13))</f>
        <v>3</v>
      </c>
      <c r="N133" s="20">
        <f>IF(ISNA(INDEX($A$37:$T$94,MATCH($B133,$B$37:$B$94,0),14)),"",INDEX($A$37:$T$94,MATCH($B133,$B$37:$B$94,0),14))</f>
        <v>3</v>
      </c>
      <c r="O133" s="20">
        <f>IF(ISNA(INDEX($A$37:$T$94,MATCH($B133,$B$37:$B$94,0),15)),"",INDEX($A$37:$T$94,MATCH($B133,$B$37:$B$94,0),15))</f>
        <v>5</v>
      </c>
      <c r="P133" s="20">
        <f>IF(ISNA(INDEX($A$37:$T$94,MATCH($B133,$B$37:$B$94,0),16)),"",INDEX($A$37:$T$94,MATCH($B133,$B$37:$B$94,0),16))</f>
        <v>8</v>
      </c>
      <c r="Q133" s="30">
        <f>IF(ISNA(INDEX($A$37:$T$94,MATCH($B133,$B$37:$B$94,0),17)),"",INDEX($A$37:$T$94,MATCH($B133,$B$37:$B$94,0),17))</f>
        <v>0</v>
      </c>
      <c r="R133" s="30">
        <f>IF(ISNA(INDEX($A$37:$T$94,MATCH($B133,$B$37:$B$94,0),18)),"",INDEX($A$37:$T$94,MATCH($B133,$B$37:$B$94,0),18))</f>
        <v>0</v>
      </c>
      <c r="S133" s="30" t="str">
        <f>IF(ISNA(INDEX($A$37:$T$94,MATCH($B133,$B$37:$B$94,0),19)),"",INDEX($A$37:$T$94,MATCH($B133,$B$37:$B$94,0),19))</f>
        <v>VP</v>
      </c>
      <c r="T133" s="21" t="s">
        <v>38</v>
      </c>
    </row>
    <row r="134" spans="1:20" x14ac:dyDescent="0.2">
      <c r="A134" s="32" t="str">
        <f>IF(ISNA(INDEX($A$37:$T$94,MATCH($B134,$B$37:$B$94,0),1)),"",INDEX($A$37:$T$94,MATCH($B134,$B$37:$B$94,0),1))</f>
        <v/>
      </c>
      <c r="B134" s="123"/>
      <c r="C134" s="123"/>
      <c r="D134" s="123"/>
      <c r="E134" s="123"/>
      <c r="F134" s="123"/>
      <c r="G134" s="123"/>
      <c r="H134" s="123"/>
      <c r="I134" s="123"/>
      <c r="J134" s="20" t="str">
        <f>IF(ISNA(INDEX($A$37:$T$94,MATCH($B134,$B$37:$B$94,0),10)),"",INDEX($A$37:$T$94,MATCH($B134,$B$37:$B$94,0),10))</f>
        <v/>
      </c>
      <c r="K134" s="20" t="str">
        <f>IF(ISNA(INDEX($A$37:$T$94,MATCH($B134,$B$37:$B$94,0),11)),"",INDEX($A$37:$T$94,MATCH($B134,$B$37:$B$94,0),11))</f>
        <v/>
      </c>
      <c r="L134" s="20" t="str">
        <f>IF(ISNA(INDEX($A$37:$T$94,MATCH($B134,$B$37:$B$94,0),12)),"",INDEX($A$37:$T$94,MATCH($B134,$B$37:$B$94,0),12))</f>
        <v/>
      </c>
      <c r="M134" s="20" t="str">
        <f>IF(ISNA(INDEX($A$37:$T$94,MATCH($B134,$B$37:$B$94,0),13)),"",INDEX($A$37:$T$94,MATCH($B134,$B$37:$B$94,0),13))</f>
        <v/>
      </c>
      <c r="N134" s="20" t="str">
        <f>IF(ISNA(INDEX($A$37:$T$94,MATCH($B134,$B$37:$B$94,0),14)),"",INDEX($A$37:$T$94,MATCH($B134,$B$37:$B$94,0),14))</f>
        <v/>
      </c>
      <c r="O134" s="20" t="str">
        <f>IF(ISNA(INDEX($A$37:$T$94,MATCH($B134,$B$37:$B$94,0),15)),"",INDEX($A$37:$T$94,MATCH($B134,$B$37:$B$94,0),15))</f>
        <v/>
      </c>
      <c r="P134" s="20" t="str">
        <f>IF(ISNA(INDEX($A$37:$T$94,MATCH($B134,$B$37:$B$94,0),16)),"",INDEX($A$37:$T$94,MATCH($B134,$B$37:$B$94,0),16))</f>
        <v/>
      </c>
      <c r="Q134" s="30" t="str">
        <f>IF(ISNA(INDEX($A$37:$T$94,MATCH($B134,$B$37:$B$94,0),17)),"",INDEX($A$37:$T$94,MATCH($B134,$B$37:$B$94,0),17))</f>
        <v/>
      </c>
      <c r="R134" s="30" t="str">
        <f>IF(ISNA(INDEX($A$37:$T$94,MATCH($B134,$B$37:$B$94,0),18)),"",INDEX($A$37:$T$94,MATCH($B134,$B$37:$B$94,0),18))</f>
        <v/>
      </c>
      <c r="S134" s="30" t="str">
        <f>IF(ISNA(INDEX($A$37:$T$94,MATCH($B134,$B$37:$B$94,0),19)),"",INDEX($A$37:$T$94,MATCH($B134,$B$37:$B$94,0),19))</f>
        <v/>
      </c>
      <c r="T134" s="21" t="s">
        <v>38</v>
      </c>
    </row>
    <row r="135" spans="1:20" x14ac:dyDescent="0.2">
      <c r="A135" s="22" t="s">
        <v>25</v>
      </c>
      <c r="B135" s="85"/>
      <c r="C135" s="85"/>
      <c r="D135" s="85"/>
      <c r="E135" s="85"/>
      <c r="F135" s="85"/>
      <c r="G135" s="85"/>
      <c r="H135" s="85"/>
      <c r="I135" s="85"/>
      <c r="J135" s="24">
        <f t="shared" ref="J135:P135" si="53">SUM(J131:J134)</f>
        <v>16</v>
      </c>
      <c r="K135" s="24">
        <f t="shared" si="53"/>
        <v>4</v>
      </c>
      <c r="L135" s="24">
        <f t="shared" si="53"/>
        <v>2</v>
      </c>
      <c r="M135" s="24">
        <f t="shared" si="53"/>
        <v>7</v>
      </c>
      <c r="N135" s="24">
        <f t="shared" si="53"/>
        <v>13</v>
      </c>
      <c r="O135" s="24">
        <f t="shared" si="53"/>
        <v>21</v>
      </c>
      <c r="P135" s="24">
        <f t="shared" si="53"/>
        <v>34</v>
      </c>
      <c r="Q135" s="22">
        <f>COUNTIF(Q131:Q134,"E")</f>
        <v>2</v>
      </c>
      <c r="R135" s="22">
        <f>COUNTIF(R131:R134,"C")</f>
        <v>0</v>
      </c>
      <c r="S135" s="22">
        <f>COUNTIF(S131:S134,"VP")</f>
        <v>1</v>
      </c>
      <c r="T135" s="23"/>
    </row>
    <row r="136" spans="1:20" ht="30.75" customHeight="1" x14ac:dyDescent="0.2">
      <c r="A136" s="130" t="s">
        <v>73</v>
      </c>
      <c r="B136" s="131"/>
      <c r="C136" s="131"/>
      <c r="D136" s="131"/>
      <c r="E136" s="131"/>
      <c r="F136" s="131"/>
      <c r="G136" s="131"/>
      <c r="H136" s="131"/>
      <c r="I136" s="132"/>
      <c r="J136" s="24">
        <f t="shared" ref="J136:S136" si="54">SUM(J129,J135)</f>
        <v>34</v>
      </c>
      <c r="K136" s="24">
        <f t="shared" si="54"/>
        <v>8</v>
      </c>
      <c r="L136" s="24">
        <f t="shared" si="54"/>
        <v>4</v>
      </c>
      <c r="M136" s="24">
        <f t="shared" si="54"/>
        <v>14</v>
      </c>
      <c r="N136" s="24">
        <f t="shared" si="54"/>
        <v>26</v>
      </c>
      <c r="O136" s="24">
        <f t="shared" si="54"/>
        <v>40</v>
      </c>
      <c r="P136" s="24">
        <f t="shared" si="54"/>
        <v>66</v>
      </c>
      <c r="Q136" s="24">
        <f t="shared" si="54"/>
        <v>2</v>
      </c>
      <c r="R136" s="24">
        <f t="shared" si="54"/>
        <v>1</v>
      </c>
      <c r="S136" s="24">
        <f t="shared" si="54"/>
        <v>3</v>
      </c>
      <c r="T136" s="29"/>
    </row>
    <row r="137" spans="1:20" ht="15.75" customHeight="1" x14ac:dyDescent="0.2">
      <c r="A137" s="111" t="s">
        <v>48</v>
      </c>
      <c r="B137" s="112"/>
      <c r="C137" s="112"/>
      <c r="D137" s="112"/>
      <c r="E137" s="112"/>
      <c r="F137" s="112"/>
      <c r="G137" s="112"/>
      <c r="H137" s="112"/>
      <c r="I137" s="112"/>
      <c r="J137" s="113"/>
      <c r="K137" s="24">
        <f t="shared" ref="K137:P137" si="55">K129*14+K135*12</f>
        <v>104</v>
      </c>
      <c r="L137" s="24">
        <f t="shared" si="55"/>
        <v>52</v>
      </c>
      <c r="M137" s="24">
        <f t="shared" si="55"/>
        <v>182</v>
      </c>
      <c r="N137" s="24">
        <f t="shared" si="55"/>
        <v>338</v>
      </c>
      <c r="O137" s="24">
        <f t="shared" si="55"/>
        <v>518</v>
      </c>
      <c r="P137" s="24">
        <f t="shared" si="55"/>
        <v>856</v>
      </c>
      <c r="Q137" s="117"/>
      <c r="R137" s="118"/>
      <c r="S137" s="118"/>
      <c r="T137" s="119"/>
    </row>
    <row r="138" spans="1:20" ht="17.25" customHeight="1" x14ac:dyDescent="0.2">
      <c r="A138" s="114"/>
      <c r="B138" s="115"/>
      <c r="C138" s="115"/>
      <c r="D138" s="115"/>
      <c r="E138" s="115"/>
      <c r="F138" s="115"/>
      <c r="G138" s="115"/>
      <c r="H138" s="115"/>
      <c r="I138" s="115"/>
      <c r="J138" s="116"/>
      <c r="K138" s="127">
        <f>SUM(K137:M137)</f>
        <v>338</v>
      </c>
      <c r="L138" s="128"/>
      <c r="M138" s="129"/>
      <c r="N138" s="124">
        <f>SUM(N137:O137)</f>
        <v>856</v>
      </c>
      <c r="O138" s="125"/>
      <c r="P138" s="126"/>
      <c r="Q138" s="120"/>
      <c r="R138" s="121"/>
      <c r="S138" s="121"/>
      <c r="T138" s="122"/>
    </row>
    <row r="139" spans="1:20" ht="8.25" customHeight="1" x14ac:dyDescent="0.2"/>
    <row r="140" spans="1:20" x14ac:dyDescent="0.2">
      <c r="B140" s="2"/>
      <c r="C140" s="2"/>
      <c r="D140" s="2"/>
      <c r="E140" s="2"/>
      <c r="F140" s="2"/>
      <c r="G140" s="2"/>
      <c r="M140" s="8"/>
      <c r="N140" s="8"/>
      <c r="O140" s="8"/>
      <c r="P140" s="8"/>
      <c r="Q140" s="8"/>
      <c r="R140" s="8"/>
      <c r="S140" s="8"/>
    </row>
    <row r="141" spans="1:20" x14ac:dyDescent="0.2">
      <c r="B141" s="8"/>
      <c r="C141" s="8"/>
      <c r="D141" s="8"/>
      <c r="E141" s="8"/>
      <c r="F141" s="8"/>
      <c r="G141" s="8"/>
      <c r="H141" s="17"/>
      <c r="I141" s="17"/>
      <c r="J141" s="17"/>
      <c r="M141" s="8"/>
      <c r="N141" s="8"/>
      <c r="O141" s="8"/>
      <c r="P141" s="8"/>
      <c r="Q141" s="8"/>
      <c r="R141" s="8"/>
      <c r="S141" s="8"/>
    </row>
    <row r="142" spans="1:20" ht="12.75" customHeight="1" x14ac:dyDescent="0.2"/>
    <row r="143" spans="1:20" ht="23.25" customHeight="1" x14ac:dyDescent="0.2">
      <c r="A143" s="85" t="s">
        <v>67</v>
      </c>
      <c r="B143" s="174"/>
      <c r="C143" s="174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4"/>
    </row>
    <row r="144" spans="1:20" ht="26.25" customHeight="1" x14ac:dyDescent="0.2">
      <c r="A144" s="85" t="s">
        <v>27</v>
      </c>
      <c r="B144" s="85" t="s">
        <v>26</v>
      </c>
      <c r="C144" s="85"/>
      <c r="D144" s="85"/>
      <c r="E144" s="85"/>
      <c r="F144" s="85"/>
      <c r="G144" s="85"/>
      <c r="H144" s="85"/>
      <c r="I144" s="85"/>
      <c r="J144" s="78" t="s">
        <v>40</v>
      </c>
      <c r="K144" s="78" t="s">
        <v>24</v>
      </c>
      <c r="L144" s="78"/>
      <c r="M144" s="78"/>
      <c r="N144" s="78" t="s">
        <v>41</v>
      </c>
      <c r="O144" s="78"/>
      <c r="P144" s="78"/>
      <c r="Q144" s="78" t="s">
        <v>23</v>
      </c>
      <c r="R144" s="78"/>
      <c r="S144" s="78"/>
      <c r="T144" s="78" t="s">
        <v>22</v>
      </c>
    </row>
    <row r="145" spans="1:20" x14ac:dyDescent="0.2">
      <c r="A145" s="85"/>
      <c r="B145" s="85"/>
      <c r="C145" s="85"/>
      <c r="D145" s="85"/>
      <c r="E145" s="85"/>
      <c r="F145" s="85"/>
      <c r="G145" s="85"/>
      <c r="H145" s="85"/>
      <c r="I145" s="85"/>
      <c r="J145" s="78"/>
      <c r="K145" s="31" t="s">
        <v>28</v>
      </c>
      <c r="L145" s="31" t="s">
        <v>29</v>
      </c>
      <c r="M145" s="31" t="s">
        <v>30</v>
      </c>
      <c r="N145" s="31" t="s">
        <v>34</v>
      </c>
      <c r="O145" s="31" t="s">
        <v>7</v>
      </c>
      <c r="P145" s="31" t="s">
        <v>31</v>
      </c>
      <c r="Q145" s="31" t="s">
        <v>32</v>
      </c>
      <c r="R145" s="31" t="s">
        <v>28</v>
      </c>
      <c r="S145" s="31" t="s">
        <v>33</v>
      </c>
      <c r="T145" s="78"/>
    </row>
    <row r="146" spans="1:20" ht="18.75" customHeight="1" x14ac:dyDescent="0.2">
      <c r="A146" s="98" t="s">
        <v>62</v>
      </c>
      <c r="B146" s="99"/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100"/>
    </row>
    <row r="147" spans="1:20" x14ac:dyDescent="0.2">
      <c r="A147" s="32" t="str">
        <f t="shared" ref="A147" si="56">IF(ISNA(INDEX($A$37:$T$94,MATCH($B147,$B$37:$B$94,0),1)),"",INDEX($A$37:$T$94,MATCH($B147,$B$37:$B$94,0),1))</f>
        <v>MMM3034</v>
      </c>
      <c r="B147" s="123" t="s">
        <v>109</v>
      </c>
      <c r="C147" s="123"/>
      <c r="D147" s="123"/>
      <c r="E147" s="123"/>
      <c r="F147" s="123"/>
      <c r="G147" s="123"/>
      <c r="H147" s="123"/>
      <c r="I147" s="123"/>
      <c r="J147" s="20">
        <f t="shared" ref="J147" si="57">IF(ISNA(INDEX($A$37:$T$94,MATCH($B147,$B$37:$B$94,0),10)),"",INDEX($A$37:$T$94,MATCH($B147,$B$37:$B$94,0),10))</f>
        <v>8</v>
      </c>
      <c r="K147" s="20">
        <f t="shared" ref="K147" si="58">IF(ISNA(INDEX($A$37:$T$94,MATCH($B147,$B$37:$B$94,0),11)),"",INDEX($A$37:$T$94,MATCH($B147,$B$37:$B$94,0),11))</f>
        <v>2</v>
      </c>
      <c r="L147" s="20">
        <f t="shared" ref="L147" si="59">IF(ISNA(INDEX($A$37:$T$94,MATCH($B147,$B$37:$B$94,0),12)),"",INDEX($A$37:$T$94,MATCH($B147,$B$37:$B$94,0),12))</f>
        <v>1</v>
      </c>
      <c r="M147" s="20">
        <f t="shared" ref="M147" si="60">IF(ISNA(INDEX($A$37:$T$94,MATCH($B147,$B$37:$B$94,0),13)),"",INDEX($A$37:$T$94,MATCH($B147,$B$37:$B$94,0),13))</f>
        <v>2</v>
      </c>
      <c r="N147" s="20">
        <f t="shared" ref="N147" si="61">IF(ISNA(INDEX($A$37:$T$94,MATCH($B147,$B$37:$B$94,0),14)),"",INDEX($A$37:$T$94,MATCH($B147,$B$37:$B$94,0),14))</f>
        <v>5</v>
      </c>
      <c r="O147" s="20">
        <f t="shared" ref="O147" si="62">IF(ISNA(INDEX($A$37:$T$94,MATCH($B147,$B$37:$B$94,0),15)),"",INDEX($A$37:$T$94,MATCH($B147,$B$37:$B$94,0),15))</f>
        <v>9</v>
      </c>
      <c r="P147" s="20">
        <f t="shared" ref="P147" si="63">IF(ISNA(INDEX($A$37:$T$94,MATCH($B147,$B$37:$B$94,0),16)),"",INDEX($A$37:$T$94,MATCH($B147,$B$37:$B$94,0),16))</f>
        <v>14</v>
      </c>
      <c r="Q147" s="30" t="str">
        <f t="shared" ref="Q147" si="64">IF(ISNA(INDEX($A$37:$T$94,MATCH($B147,$B$37:$B$94,0),17)),"",INDEX($A$37:$T$94,MATCH($B147,$B$37:$B$94,0),17))</f>
        <v>E</v>
      </c>
      <c r="R147" s="30">
        <f t="shared" ref="R147" si="65">IF(ISNA(INDEX($A$37:$T$94,MATCH($B147,$B$37:$B$94,0),18)),"",INDEX($A$37:$T$94,MATCH($B147,$B$37:$B$94,0),18))</f>
        <v>0</v>
      </c>
      <c r="S147" s="30">
        <f t="shared" ref="S147" si="66">IF(ISNA(INDEX($A$37:$T$94,MATCH($B147,$B$37:$B$94,0),19)),"",INDEX($A$37:$T$94,MATCH($B147,$B$37:$B$94,0),19))</f>
        <v>0</v>
      </c>
      <c r="T147" s="19" t="s">
        <v>39</v>
      </c>
    </row>
    <row r="148" spans="1:20" x14ac:dyDescent="0.2">
      <c r="A148" s="22" t="s">
        <v>25</v>
      </c>
      <c r="B148" s="108"/>
      <c r="C148" s="109"/>
      <c r="D148" s="109"/>
      <c r="E148" s="109"/>
      <c r="F148" s="109"/>
      <c r="G148" s="109"/>
      <c r="H148" s="109"/>
      <c r="I148" s="110"/>
      <c r="J148" s="24">
        <f t="shared" ref="J148:P148" si="67">SUM(J147:J147)</f>
        <v>8</v>
      </c>
      <c r="K148" s="24">
        <f t="shared" si="67"/>
        <v>2</v>
      </c>
      <c r="L148" s="24">
        <f t="shared" si="67"/>
        <v>1</v>
      </c>
      <c r="M148" s="24">
        <f t="shared" si="67"/>
        <v>2</v>
      </c>
      <c r="N148" s="24">
        <f t="shared" si="67"/>
        <v>5</v>
      </c>
      <c r="O148" s="24">
        <f t="shared" si="67"/>
        <v>9</v>
      </c>
      <c r="P148" s="24">
        <f t="shared" si="67"/>
        <v>14</v>
      </c>
      <c r="Q148" s="22">
        <f>COUNTIF(Q147:Q147,"E")</f>
        <v>1</v>
      </c>
      <c r="R148" s="22">
        <f>COUNTIF(R147:R147,"C")</f>
        <v>0</v>
      </c>
      <c r="S148" s="22">
        <f>COUNTIF(S147:S147,"VP")</f>
        <v>0</v>
      </c>
      <c r="T148" s="19"/>
    </row>
    <row r="149" spans="1:20" ht="18" customHeight="1" x14ac:dyDescent="0.2">
      <c r="A149" s="98" t="s">
        <v>64</v>
      </c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100"/>
    </row>
    <row r="150" spans="1:20" x14ac:dyDescent="0.2">
      <c r="A150" s="32" t="str">
        <f>IF(ISNA(INDEX($A$37:$T$94,MATCH($B150,$B$37:$B$94,0),1)),"",INDEX($A$37:$T$94,MATCH($B150,$B$37:$B$94,0),1))</f>
        <v>MMM3058</v>
      </c>
      <c r="B150" s="123" t="s">
        <v>137</v>
      </c>
      <c r="C150" s="123"/>
      <c r="D150" s="123"/>
      <c r="E150" s="123"/>
      <c r="F150" s="123"/>
      <c r="G150" s="123"/>
      <c r="H150" s="123"/>
      <c r="I150" s="123"/>
      <c r="J150" s="20">
        <f>IF(ISNA(INDEX($A$37:$T$94,MATCH($B150,$B$37:$B$94,0),10)),"",INDEX($A$37:$T$94,MATCH($B150,$B$37:$B$94,0),10))</f>
        <v>7</v>
      </c>
      <c r="K150" s="20">
        <f>IF(ISNA(INDEX($A$37:$T$94,MATCH($B150,$B$37:$B$94,0),11)),"",INDEX($A$37:$T$94,MATCH($B150,$B$37:$B$94,0),11))</f>
        <v>2</v>
      </c>
      <c r="L150" s="20">
        <f>IF(ISNA(INDEX($A$37:$T$94,MATCH($B150,$B$37:$B$94,0),12)),"",INDEX($A$37:$T$94,MATCH($B150,$B$37:$B$94,0),12))</f>
        <v>1</v>
      </c>
      <c r="M150" s="20">
        <f>IF(ISNA(INDEX($A$37:$T$94,MATCH($B150,$B$37:$B$94,0),13)),"",INDEX($A$37:$T$94,MATCH($B150,$B$37:$B$94,0),13))</f>
        <v>2</v>
      </c>
      <c r="N150" s="20">
        <f>IF(ISNA(INDEX($A$37:$T$94,MATCH($B150,$B$37:$B$94,0),14)),"",INDEX($A$37:$T$94,MATCH($B150,$B$37:$B$94,0),14))</f>
        <v>5</v>
      </c>
      <c r="O150" s="20">
        <f>IF(ISNA(INDEX($A$37:$T$94,MATCH($B150,$B$37:$B$94,0),15)),"",INDEX($A$37:$T$94,MATCH($B150,$B$37:$B$94,0),15))</f>
        <v>10</v>
      </c>
      <c r="P150" s="20">
        <f>IF(ISNA(INDEX($A$37:$T$94,MATCH($B150,$B$37:$B$94,0),16)),"",INDEX($A$37:$T$94,MATCH($B150,$B$37:$B$94,0),16))</f>
        <v>15</v>
      </c>
      <c r="Q150" s="30" t="str">
        <f>IF(ISNA(INDEX($A$37:$T$94,MATCH($B150,$B$37:$B$94,0),17)),"",INDEX($A$37:$T$94,MATCH($B150,$B$37:$B$94,0),17))</f>
        <v>E</v>
      </c>
      <c r="R150" s="30">
        <f>IF(ISNA(INDEX($A$37:$T$94,MATCH($B150,$B$37:$B$94,0),18)),"",INDEX($A$37:$T$94,MATCH($B150,$B$37:$B$94,0),18))</f>
        <v>0</v>
      </c>
      <c r="S150" s="30">
        <f>IF(ISNA(INDEX($A$37:$T$94,MATCH($B150,$B$37:$B$94,0),19)),"",INDEX($A$37:$T$94,MATCH($B150,$B$37:$B$94,0),19))</f>
        <v>0</v>
      </c>
      <c r="T150" s="19" t="s">
        <v>39</v>
      </c>
    </row>
    <row r="151" spans="1:20" x14ac:dyDescent="0.2">
      <c r="A151" s="22" t="s">
        <v>25</v>
      </c>
      <c r="B151" s="85"/>
      <c r="C151" s="85"/>
      <c r="D151" s="85"/>
      <c r="E151" s="85"/>
      <c r="F151" s="85"/>
      <c r="G151" s="85"/>
      <c r="H151" s="85"/>
      <c r="I151" s="85"/>
      <c r="J151" s="24">
        <f t="shared" ref="J151:P151" si="68">SUM(J150:J150)</f>
        <v>7</v>
      </c>
      <c r="K151" s="24">
        <f t="shared" si="68"/>
        <v>2</v>
      </c>
      <c r="L151" s="24">
        <f t="shared" si="68"/>
        <v>1</v>
      </c>
      <c r="M151" s="24">
        <f t="shared" si="68"/>
        <v>2</v>
      </c>
      <c r="N151" s="24">
        <f t="shared" si="68"/>
        <v>5</v>
      </c>
      <c r="O151" s="24">
        <f t="shared" si="68"/>
        <v>10</v>
      </c>
      <c r="P151" s="24">
        <f t="shared" si="68"/>
        <v>15</v>
      </c>
      <c r="Q151" s="22">
        <f>COUNTIF(Q150:Q150,"E")</f>
        <v>1</v>
      </c>
      <c r="R151" s="22">
        <f>COUNTIF(R150:R150,"C")</f>
        <v>0</v>
      </c>
      <c r="S151" s="22">
        <f>COUNTIF(S150:S150,"VP")</f>
        <v>0</v>
      </c>
      <c r="T151" s="23"/>
    </row>
    <row r="152" spans="1:20" ht="25.5" customHeight="1" x14ac:dyDescent="0.2">
      <c r="A152" s="130" t="s">
        <v>73</v>
      </c>
      <c r="B152" s="131"/>
      <c r="C152" s="131"/>
      <c r="D152" s="131"/>
      <c r="E152" s="131"/>
      <c r="F152" s="131"/>
      <c r="G152" s="131"/>
      <c r="H152" s="131"/>
      <c r="I152" s="132"/>
      <c r="J152" s="24">
        <f t="shared" ref="J152:S152" si="69">SUM(J148,J151)</f>
        <v>15</v>
      </c>
      <c r="K152" s="24">
        <f t="shared" si="69"/>
        <v>4</v>
      </c>
      <c r="L152" s="24">
        <f t="shared" si="69"/>
        <v>2</v>
      </c>
      <c r="M152" s="24">
        <f t="shared" si="69"/>
        <v>4</v>
      </c>
      <c r="N152" s="24">
        <f t="shared" si="69"/>
        <v>10</v>
      </c>
      <c r="O152" s="24">
        <f t="shared" si="69"/>
        <v>19</v>
      </c>
      <c r="P152" s="24">
        <f t="shared" si="69"/>
        <v>29</v>
      </c>
      <c r="Q152" s="24">
        <f t="shared" si="69"/>
        <v>2</v>
      </c>
      <c r="R152" s="24">
        <f t="shared" si="69"/>
        <v>0</v>
      </c>
      <c r="S152" s="24">
        <f t="shared" si="69"/>
        <v>0</v>
      </c>
      <c r="T152" s="29"/>
    </row>
    <row r="153" spans="1:20" ht="13.5" customHeight="1" x14ac:dyDescent="0.2">
      <c r="A153" s="111" t="s">
        <v>48</v>
      </c>
      <c r="B153" s="112"/>
      <c r="C153" s="112"/>
      <c r="D153" s="112"/>
      <c r="E153" s="112"/>
      <c r="F153" s="112"/>
      <c r="G153" s="112"/>
      <c r="H153" s="112"/>
      <c r="I153" s="112"/>
      <c r="J153" s="113"/>
      <c r="K153" s="24">
        <f t="shared" ref="K153:P153" si="70">K148*14+K151*12</f>
        <v>52</v>
      </c>
      <c r="L153" s="24">
        <f t="shared" si="70"/>
        <v>26</v>
      </c>
      <c r="M153" s="24">
        <f t="shared" si="70"/>
        <v>52</v>
      </c>
      <c r="N153" s="24">
        <f t="shared" si="70"/>
        <v>130</v>
      </c>
      <c r="O153" s="24">
        <f t="shared" si="70"/>
        <v>246</v>
      </c>
      <c r="P153" s="24">
        <f t="shared" si="70"/>
        <v>376</v>
      </c>
      <c r="Q153" s="117"/>
      <c r="R153" s="118"/>
      <c r="S153" s="118"/>
      <c r="T153" s="119"/>
    </row>
    <row r="154" spans="1:20" ht="16.5" customHeight="1" x14ac:dyDescent="0.2">
      <c r="A154" s="114"/>
      <c r="B154" s="115"/>
      <c r="C154" s="115"/>
      <c r="D154" s="115"/>
      <c r="E154" s="115"/>
      <c r="F154" s="115"/>
      <c r="G154" s="115"/>
      <c r="H154" s="115"/>
      <c r="I154" s="115"/>
      <c r="J154" s="116"/>
      <c r="K154" s="127">
        <f>SUM(K153:M153)</f>
        <v>130</v>
      </c>
      <c r="L154" s="128"/>
      <c r="M154" s="129"/>
      <c r="N154" s="124">
        <f>SUM(N153:O153)</f>
        <v>376</v>
      </c>
      <c r="O154" s="125"/>
      <c r="P154" s="126"/>
      <c r="Q154" s="120"/>
      <c r="R154" s="121"/>
      <c r="S154" s="121"/>
      <c r="T154" s="122"/>
    </row>
    <row r="155" spans="1:20" ht="8.25" customHeight="1" x14ac:dyDescent="0.2"/>
    <row r="156" spans="1:20" x14ac:dyDescent="0.2">
      <c r="B156" s="2"/>
      <c r="C156" s="2"/>
      <c r="D156" s="2"/>
      <c r="E156" s="2"/>
      <c r="F156" s="2"/>
      <c r="G156" s="2"/>
      <c r="M156" s="8"/>
      <c r="N156" s="8"/>
      <c r="O156" s="8"/>
      <c r="P156" s="8"/>
      <c r="Q156" s="8"/>
      <c r="R156" s="8"/>
      <c r="S156" s="8"/>
    </row>
    <row r="157" spans="1:20" x14ac:dyDescent="0.2">
      <c r="B157" s="8"/>
      <c r="C157" s="8"/>
      <c r="D157" s="8"/>
      <c r="E157" s="8"/>
      <c r="F157" s="8"/>
      <c r="G157" s="8"/>
      <c r="H157" s="17"/>
      <c r="I157" s="17"/>
      <c r="J157" s="17"/>
      <c r="M157" s="8"/>
      <c r="N157" s="8"/>
      <c r="O157" s="8"/>
      <c r="P157" s="8"/>
      <c r="Q157" s="8"/>
      <c r="R157" s="8"/>
      <c r="S157" s="8"/>
    </row>
    <row r="159" spans="1:20" x14ac:dyDescent="0.2">
      <c r="B159" s="2"/>
      <c r="C159" s="2"/>
      <c r="D159" s="2"/>
      <c r="E159" s="2"/>
      <c r="F159" s="2"/>
      <c r="G159" s="2"/>
      <c r="M159" s="8"/>
      <c r="N159" s="8"/>
      <c r="O159" s="8"/>
      <c r="P159" s="8"/>
      <c r="Q159" s="8"/>
      <c r="R159" s="8"/>
      <c r="S159" s="8"/>
    </row>
    <row r="160" spans="1:20" x14ac:dyDescent="0.2">
      <c r="B160" s="8"/>
      <c r="C160" s="8"/>
      <c r="D160" s="8"/>
      <c r="E160" s="8"/>
      <c r="F160" s="8"/>
      <c r="G160" s="8"/>
      <c r="H160" s="17"/>
      <c r="I160" s="17"/>
      <c r="J160" s="17"/>
      <c r="M160" s="8"/>
      <c r="N160" s="8"/>
      <c r="O160" s="8"/>
      <c r="P160" s="8"/>
      <c r="Q160" s="8"/>
      <c r="R160" s="8"/>
      <c r="S160" s="8"/>
    </row>
    <row r="162" spans="1:34" x14ac:dyDescent="0.2">
      <c r="A162" s="154" t="s">
        <v>59</v>
      </c>
      <c r="B162" s="154"/>
    </row>
    <row r="163" spans="1:34" x14ac:dyDescent="0.2">
      <c r="A163" s="175" t="s">
        <v>27</v>
      </c>
      <c r="B163" s="177" t="s">
        <v>51</v>
      </c>
      <c r="C163" s="178"/>
      <c r="D163" s="178"/>
      <c r="E163" s="178"/>
      <c r="F163" s="178"/>
      <c r="G163" s="179"/>
      <c r="H163" s="177" t="s">
        <v>54</v>
      </c>
      <c r="I163" s="179"/>
      <c r="J163" s="183" t="s">
        <v>55</v>
      </c>
      <c r="K163" s="184"/>
      <c r="L163" s="184"/>
      <c r="M163" s="184"/>
      <c r="N163" s="184"/>
      <c r="O163" s="185"/>
      <c r="P163" s="177" t="s">
        <v>47</v>
      </c>
      <c r="Q163" s="179"/>
      <c r="R163" s="183" t="s">
        <v>56</v>
      </c>
      <c r="S163" s="184"/>
      <c r="T163" s="185"/>
    </row>
    <row r="164" spans="1:34" x14ac:dyDescent="0.2">
      <c r="A164" s="176"/>
      <c r="B164" s="180"/>
      <c r="C164" s="181"/>
      <c r="D164" s="181"/>
      <c r="E164" s="181"/>
      <c r="F164" s="181"/>
      <c r="G164" s="182"/>
      <c r="H164" s="180"/>
      <c r="I164" s="182"/>
      <c r="J164" s="183" t="s">
        <v>34</v>
      </c>
      <c r="K164" s="185"/>
      <c r="L164" s="183" t="s">
        <v>7</v>
      </c>
      <c r="M164" s="185"/>
      <c r="N164" s="183" t="s">
        <v>31</v>
      </c>
      <c r="O164" s="185"/>
      <c r="P164" s="180"/>
      <c r="Q164" s="182"/>
      <c r="R164" s="37" t="s">
        <v>57</v>
      </c>
      <c r="S164" s="183" t="s">
        <v>58</v>
      </c>
      <c r="T164" s="185"/>
    </row>
    <row r="165" spans="1:34" x14ac:dyDescent="0.2">
      <c r="A165" s="37">
        <v>1</v>
      </c>
      <c r="B165" s="183" t="s">
        <v>52</v>
      </c>
      <c r="C165" s="184"/>
      <c r="D165" s="184"/>
      <c r="E165" s="184"/>
      <c r="F165" s="184"/>
      <c r="G165" s="185"/>
      <c r="H165" s="190">
        <f>J165</f>
        <v>1028</v>
      </c>
      <c r="I165" s="190"/>
      <c r="J165" s="191">
        <f>SUM((N44+N54+N65)*14+(N75*12)-J166)</f>
        <v>1028</v>
      </c>
      <c r="K165" s="192"/>
      <c r="L165" s="191">
        <f>SUM((O44+O54+O65)*14+(O75*12)-L166)</f>
        <v>1736</v>
      </c>
      <c r="M165" s="192"/>
      <c r="N165" s="193">
        <f>SUM(J165:M165)</f>
        <v>2764</v>
      </c>
      <c r="O165" s="194"/>
      <c r="P165" s="195">
        <f>H165/H167</f>
        <v>0.88773747841105355</v>
      </c>
      <c r="Q165" s="196"/>
      <c r="R165" s="38">
        <f>J44+J54-R166</f>
        <v>54</v>
      </c>
      <c r="S165" s="197">
        <f>J65+J75-S166</f>
        <v>54</v>
      </c>
      <c r="T165" s="198"/>
    </row>
    <row r="166" spans="1:34" x14ac:dyDescent="0.2">
      <c r="A166" s="37">
        <v>2</v>
      </c>
      <c r="B166" s="183" t="s">
        <v>53</v>
      </c>
      <c r="C166" s="184"/>
      <c r="D166" s="184"/>
      <c r="E166" s="184"/>
      <c r="F166" s="184"/>
      <c r="G166" s="185"/>
      <c r="H166" s="190">
        <f>J166</f>
        <v>130</v>
      </c>
      <c r="I166" s="190"/>
      <c r="J166" s="199">
        <f>N91</f>
        <v>130</v>
      </c>
      <c r="K166" s="200"/>
      <c r="L166" s="199">
        <f>O91</f>
        <v>156</v>
      </c>
      <c r="M166" s="200"/>
      <c r="N166" s="201">
        <f>SUM(J166:M166)</f>
        <v>286</v>
      </c>
      <c r="O166" s="194"/>
      <c r="P166" s="195">
        <f>H166/H167</f>
        <v>0.11226252158894647</v>
      </c>
      <c r="Q166" s="196"/>
      <c r="R166" s="18">
        <v>6</v>
      </c>
      <c r="S166" s="202">
        <v>6</v>
      </c>
      <c r="T166" s="203"/>
      <c r="U166" s="106" t="str">
        <f>IF(N166=P91,"Corect","Nu corespunde cu tabelul de opționale")</f>
        <v>Corect</v>
      </c>
      <c r="V166" s="107"/>
      <c r="W166" s="107"/>
      <c r="X166" s="107"/>
    </row>
    <row r="167" spans="1:34" x14ac:dyDescent="0.2">
      <c r="A167" s="183" t="s">
        <v>25</v>
      </c>
      <c r="B167" s="184"/>
      <c r="C167" s="184"/>
      <c r="D167" s="184"/>
      <c r="E167" s="184"/>
      <c r="F167" s="184"/>
      <c r="G167" s="185"/>
      <c r="H167" s="78">
        <f>SUM(H165:I166)</f>
        <v>1158</v>
      </c>
      <c r="I167" s="78"/>
      <c r="J167" s="78">
        <f>SUM(J165:K166)</f>
        <v>1158</v>
      </c>
      <c r="K167" s="78"/>
      <c r="L167" s="98">
        <f>SUM(L165:M166)</f>
        <v>1892</v>
      </c>
      <c r="M167" s="100"/>
      <c r="N167" s="98">
        <f>SUM(N165:O166)</f>
        <v>3050</v>
      </c>
      <c r="O167" s="100"/>
      <c r="P167" s="186">
        <f>SUM(P165:Q166)</f>
        <v>1</v>
      </c>
      <c r="Q167" s="187"/>
      <c r="R167" s="39">
        <f>SUM(R165:R166)</f>
        <v>60</v>
      </c>
      <c r="S167" s="188">
        <f>SUM(S165:T166)</f>
        <v>60</v>
      </c>
      <c r="T167" s="189"/>
    </row>
    <row r="169" spans="1:34" x14ac:dyDescent="0.2">
      <c r="A169" s="77" t="s">
        <v>80</v>
      </c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</row>
    <row r="170" spans="1:34" x14ac:dyDescent="0.2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</row>
    <row r="171" spans="1:34" ht="12.75" customHeight="1" x14ac:dyDescent="0.2">
      <c r="A171" s="79" t="s">
        <v>74</v>
      </c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209"/>
      <c r="V171" s="210"/>
      <c r="W171" s="210"/>
      <c r="X171" s="210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</row>
    <row r="172" spans="1:34" ht="27.75" customHeight="1" x14ac:dyDescent="0.2">
      <c r="A172" s="79" t="s">
        <v>27</v>
      </c>
      <c r="B172" s="79" t="s">
        <v>26</v>
      </c>
      <c r="C172" s="79"/>
      <c r="D172" s="79"/>
      <c r="E172" s="79"/>
      <c r="F172" s="79"/>
      <c r="G172" s="79"/>
      <c r="H172" s="79"/>
      <c r="I172" s="79"/>
      <c r="J172" s="101" t="s">
        <v>40</v>
      </c>
      <c r="K172" s="101" t="s">
        <v>24</v>
      </c>
      <c r="L172" s="101"/>
      <c r="M172" s="101"/>
      <c r="N172" s="101" t="s">
        <v>41</v>
      </c>
      <c r="O172" s="102"/>
      <c r="P172" s="102"/>
      <c r="Q172" s="101" t="s">
        <v>23</v>
      </c>
      <c r="R172" s="101"/>
      <c r="S172" s="101"/>
      <c r="T172" s="101" t="s">
        <v>22</v>
      </c>
      <c r="U172" s="210"/>
      <c r="V172" s="210"/>
      <c r="W172" s="210"/>
      <c r="X172" s="210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</row>
    <row r="173" spans="1:34" x14ac:dyDescent="0.2">
      <c r="A173" s="79"/>
      <c r="B173" s="79"/>
      <c r="C173" s="79"/>
      <c r="D173" s="79"/>
      <c r="E173" s="79"/>
      <c r="F173" s="79"/>
      <c r="G173" s="79"/>
      <c r="H173" s="79"/>
      <c r="I173" s="79"/>
      <c r="J173" s="101"/>
      <c r="K173" s="50" t="s">
        <v>28</v>
      </c>
      <c r="L173" s="50" t="s">
        <v>29</v>
      </c>
      <c r="M173" s="50" t="s">
        <v>30</v>
      </c>
      <c r="N173" s="50" t="s">
        <v>34</v>
      </c>
      <c r="O173" s="50" t="s">
        <v>7</v>
      </c>
      <c r="P173" s="50" t="s">
        <v>31</v>
      </c>
      <c r="Q173" s="50" t="s">
        <v>32</v>
      </c>
      <c r="R173" s="50" t="s">
        <v>28</v>
      </c>
      <c r="S173" s="50" t="s">
        <v>33</v>
      </c>
      <c r="T173" s="101"/>
      <c r="U173" s="150"/>
      <c r="V173" s="150"/>
      <c r="W173" s="150"/>
      <c r="X173" s="150"/>
      <c r="Y173" s="150"/>
      <c r="Z173" s="150"/>
      <c r="AA173" s="150"/>
      <c r="AB173" s="150"/>
      <c r="AC173" s="150"/>
      <c r="AD173" s="150"/>
      <c r="AE173" s="150"/>
      <c r="AF173" s="150"/>
      <c r="AG173" s="150"/>
      <c r="AH173" s="150"/>
    </row>
    <row r="174" spans="1:34" x14ac:dyDescent="0.2">
      <c r="A174" s="103" t="s">
        <v>75</v>
      </c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50"/>
      <c r="V174" s="150"/>
      <c r="W174" s="150"/>
      <c r="X174" s="150"/>
      <c r="Y174" s="150"/>
      <c r="Z174" s="150"/>
      <c r="AA174" s="150"/>
      <c r="AB174" s="150"/>
      <c r="AC174" s="150"/>
      <c r="AD174" s="150"/>
      <c r="AE174" s="150"/>
      <c r="AF174" s="150"/>
      <c r="AG174" s="150"/>
      <c r="AH174" s="150"/>
    </row>
    <row r="175" spans="1:34" s="44" customFormat="1" x14ac:dyDescent="0.2">
      <c r="A175" s="45" t="s">
        <v>68</v>
      </c>
      <c r="B175" s="204" t="s">
        <v>81</v>
      </c>
      <c r="C175" s="204"/>
      <c r="D175" s="204"/>
      <c r="E175" s="204"/>
      <c r="F175" s="204"/>
      <c r="G175" s="204"/>
      <c r="H175" s="204"/>
      <c r="I175" s="204"/>
      <c r="J175" s="41">
        <v>5</v>
      </c>
      <c r="K175" s="41">
        <v>2</v>
      </c>
      <c r="L175" s="41">
        <v>1</v>
      </c>
      <c r="M175" s="41">
        <v>0</v>
      </c>
      <c r="N175" s="42">
        <f>K175+L175+M175</f>
        <v>3</v>
      </c>
      <c r="O175" s="42">
        <f>P175-N175</f>
        <v>6</v>
      </c>
      <c r="P175" s="42">
        <f>ROUND(PRODUCT(J175,25)/14,0)</f>
        <v>9</v>
      </c>
      <c r="Q175" s="41" t="s">
        <v>32</v>
      </c>
      <c r="R175" s="41"/>
      <c r="S175" s="43"/>
      <c r="T175" s="43" t="s">
        <v>37</v>
      </c>
      <c r="U175" s="150"/>
      <c r="V175" s="150"/>
      <c r="W175" s="150"/>
      <c r="X175" s="150"/>
      <c r="Y175" s="150"/>
      <c r="Z175" s="150"/>
      <c r="AA175" s="150"/>
      <c r="AB175" s="150"/>
      <c r="AC175" s="150"/>
      <c r="AD175" s="150"/>
      <c r="AE175" s="150"/>
      <c r="AF175" s="150"/>
      <c r="AG175" s="150"/>
      <c r="AH175" s="150"/>
    </row>
    <row r="176" spans="1:34" x14ac:dyDescent="0.2">
      <c r="A176" s="45" t="s">
        <v>69</v>
      </c>
      <c r="B176" s="204" t="s">
        <v>82</v>
      </c>
      <c r="C176" s="204"/>
      <c r="D176" s="204"/>
      <c r="E176" s="204"/>
      <c r="F176" s="204"/>
      <c r="G176" s="204"/>
      <c r="H176" s="204"/>
      <c r="I176" s="204"/>
      <c r="J176" s="41">
        <v>5</v>
      </c>
      <c r="K176" s="41">
        <v>2</v>
      </c>
      <c r="L176" s="41">
        <v>1</v>
      </c>
      <c r="M176" s="41">
        <v>0</v>
      </c>
      <c r="N176" s="42">
        <f>K176+L176+M176</f>
        <v>3</v>
      </c>
      <c r="O176" s="42">
        <f>P176-N176</f>
        <v>6</v>
      </c>
      <c r="P176" s="42">
        <f>ROUND(PRODUCT(J176,25)/14,0)</f>
        <v>9</v>
      </c>
      <c r="Q176" s="41" t="s">
        <v>32</v>
      </c>
      <c r="R176" s="41"/>
      <c r="S176" s="43"/>
      <c r="T176" s="43" t="s">
        <v>37</v>
      </c>
      <c r="U176" s="150"/>
      <c r="V176" s="150"/>
      <c r="W176" s="150"/>
      <c r="X176" s="150"/>
      <c r="Y176" s="150"/>
      <c r="Z176" s="150"/>
      <c r="AA176" s="150"/>
      <c r="AB176" s="150"/>
      <c r="AC176" s="150"/>
      <c r="AD176" s="150"/>
      <c r="AE176" s="150"/>
      <c r="AF176" s="150"/>
      <c r="AG176" s="150"/>
      <c r="AH176" s="150"/>
    </row>
    <row r="177" spans="1:34" x14ac:dyDescent="0.2">
      <c r="A177" s="211" t="s">
        <v>76</v>
      </c>
      <c r="B177" s="212"/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3"/>
      <c r="U177" s="150"/>
      <c r="V177" s="150"/>
      <c r="W177" s="150"/>
      <c r="X177" s="150"/>
      <c r="Y177" s="150"/>
      <c r="Z177" s="150"/>
      <c r="AA177" s="150"/>
      <c r="AB177" s="150"/>
      <c r="AC177" s="150"/>
      <c r="AD177" s="150"/>
      <c r="AE177" s="150"/>
      <c r="AF177" s="150"/>
      <c r="AG177" s="150"/>
      <c r="AH177" s="150"/>
    </row>
    <row r="178" spans="1:34" ht="36" customHeight="1" x14ac:dyDescent="0.2">
      <c r="A178" s="45" t="s">
        <v>70</v>
      </c>
      <c r="B178" s="205" t="s">
        <v>95</v>
      </c>
      <c r="C178" s="206"/>
      <c r="D178" s="206"/>
      <c r="E178" s="206"/>
      <c r="F178" s="206"/>
      <c r="G178" s="206"/>
      <c r="H178" s="206"/>
      <c r="I178" s="207"/>
      <c r="J178" s="41">
        <v>5</v>
      </c>
      <c r="K178" s="41">
        <v>2</v>
      </c>
      <c r="L178" s="41">
        <v>1</v>
      </c>
      <c r="M178" s="41">
        <v>0</v>
      </c>
      <c r="N178" s="42">
        <f>K178+L178+M178</f>
        <v>3</v>
      </c>
      <c r="O178" s="42">
        <f>P178-N178</f>
        <v>6</v>
      </c>
      <c r="P178" s="42">
        <f>ROUND(PRODUCT(J178,25)/14,0)</f>
        <v>9</v>
      </c>
      <c r="Q178" s="41" t="s">
        <v>32</v>
      </c>
      <c r="R178" s="41"/>
      <c r="S178" s="43"/>
      <c r="T178" s="43" t="s">
        <v>83</v>
      </c>
      <c r="U178" s="150"/>
      <c r="V178" s="150"/>
      <c r="W178" s="150"/>
      <c r="X178" s="150"/>
      <c r="Y178" s="150"/>
      <c r="Z178" s="150"/>
      <c r="AA178" s="150"/>
      <c r="AB178" s="150"/>
      <c r="AC178" s="150"/>
      <c r="AD178" s="150"/>
      <c r="AE178" s="150"/>
      <c r="AF178" s="150"/>
      <c r="AG178" s="150"/>
      <c r="AH178" s="150"/>
    </row>
    <row r="179" spans="1:34" s="44" customFormat="1" ht="15" customHeight="1" x14ac:dyDescent="0.2">
      <c r="A179" s="45" t="s">
        <v>71</v>
      </c>
      <c r="B179" s="205" t="s">
        <v>96</v>
      </c>
      <c r="C179" s="206"/>
      <c r="D179" s="206"/>
      <c r="E179" s="206"/>
      <c r="F179" s="206"/>
      <c r="G179" s="206"/>
      <c r="H179" s="206"/>
      <c r="I179" s="207"/>
      <c r="J179" s="41">
        <v>5</v>
      </c>
      <c r="K179" s="41">
        <v>1</v>
      </c>
      <c r="L179" s="41">
        <v>2</v>
      </c>
      <c r="M179" s="41">
        <v>0</v>
      </c>
      <c r="N179" s="42">
        <f>K179+L179+M179</f>
        <v>3</v>
      </c>
      <c r="O179" s="42">
        <f>P179-N179</f>
        <v>6</v>
      </c>
      <c r="P179" s="42">
        <f>ROUND(PRODUCT(J179,25)/14,0)</f>
        <v>9</v>
      </c>
      <c r="Q179" s="41" t="s">
        <v>32</v>
      </c>
      <c r="R179" s="41"/>
      <c r="S179" s="43"/>
      <c r="T179" s="43" t="s">
        <v>84</v>
      </c>
      <c r="U179" s="150"/>
      <c r="V179" s="150"/>
      <c r="W179" s="150"/>
      <c r="X179" s="150"/>
      <c r="Y179" s="150"/>
      <c r="Z179" s="150"/>
      <c r="AA179" s="150"/>
      <c r="AB179" s="150"/>
      <c r="AC179" s="150"/>
      <c r="AD179" s="150"/>
      <c r="AE179" s="150"/>
      <c r="AF179" s="150"/>
      <c r="AG179" s="150"/>
      <c r="AH179" s="150"/>
    </row>
    <row r="180" spans="1:34" x14ac:dyDescent="0.2">
      <c r="A180" s="211" t="s">
        <v>77</v>
      </c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3"/>
      <c r="U180" s="150"/>
      <c r="V180" s="150"/>
      <c r="W180" s="150"/>
      <c r="X180" s="150"/>
      <c r="Y180" s="150"/>
      <c r="Z180" s="150"/>
      <c r="AA180" s="150"/>
      <c r="AB180" s="150"/>
      <c r="AC180" s="150"/>
      <c r="AD180" s="150"/>
      <c r="AE180" s="150"/>
      <c r="AF180" s="150"/>
      <c r="AG180" s="150"/>
      <c r="AH180" s="150"/>
    </row>
    <row r="181" spans="1:34" s="44" customFormat="1" ht="29.25" customHeight="1" x14ac:dyDescent="0.2">
      <c r="A181" s="45" t="s">
        <v>86</v>
      </c>
      <c r="B181" s="205" t="s">
        <v>85</v>
      </c>
      <c r="C181" s="206"/>
      <c r="D181" s="206"/>
      <c r="E181" s="206"/>
      <c r="F181" s="206"/>
      <c r="G181" s="206"/>
      <c r="H181" s="206"/>
      <c r="I181" s="207"/>
      <c r="J181" s="41">
        <v>5</v>
      </c>
      <c r="K181" s="41">
        <v>0</v>
      </c>
      <c r="L181" s="41">
        <v>0</v>
      </c>
      <c r="M181" s="41">
        <v>3</v>
      </c>
      <c r="N181" s="42">
        <f>K181+L181+M181</f>
        <v>3</v>
      </c>
      <c r="O181" s="42">
        <f>P181-N181</f>
        <v>6</v>
      </c>
      <c r="P181" s="42">
        <f>ROUND(PRODUCT(J181,25)/14,0)</f>
        <v>9</v>
      </c>
      <c r="Q181" s="41"/>
      <c r="R181" s="41" t="s">
        <v>28</v>
      </c>
      <c r="S181" s="43"/>
      <c r="T181" s="43" t="s">
        <v>83</v>
      </c>
      <c r="U181" s="150"/>
      <c r="V181" s="150"/>
      <c r="W181" s="150"/>
      <c r="X181" s="150"/>
      <c r="Y181" s="150"/>
      <c r="Z181" s="150"/>
      <c r="AA181" s="150"/>
      <c r="AB181" s="150"/>
      <c r="AC181" s="150"/>
      <c r="AD181" s="150"/>
      <c r="AE181" s="150"/>
      <c r="AF181" s="150"/>
      <c r="AG181" s="150"/>
      <c r="AH181" s="150"/>
    </row>
    <row r="182" spans="1:34" ht="18" customHeight="1" x14ac:dyDescent="0.2">
      <c r="A182" s="45" t="s">
        <v>87</v>
      </c>
      <c r="B182" s="205" t="s">
        <v>97</v>
      </c>
      <c r="C182" s="206"/>
      <c r="D182" s="206"/>
      <c r="E182" s="206"/>
      <c r="F182" s="206"/>
      <c r="G182" s="206"/>
      <c r="H182" s="206"/>
      <c r="I182" s="207"/>
      <c r="J182" s="41">
        <v>5</v>
      </c>
      <c r="K182" s="41">
        <v>1</v>
      </c>
      <c r="L182" s="41">
        <v>2</v>
      </c>
      <c r="M182" s="41">
        <v>0</v>
      </c>
      <c r="N182" s="42">
        <f>K182+L182+M182</f>
        <v>3</v>
      </c>
      <c r="O182" s="42">
        <f>P182-N182</f>
        <v>6</v>
      </c>
      <c r="P182" s="42">
        <f>ROUND(PRODUCT(J182,25)/14,0)</f>
        <v>9</v>
      </c>
      <c r="Q182" s="41" t="s">
        <v>32</v>
      </c>
      <c r="R182" s="41"/>
      <c r="S182" s="43"/>
      <c r="T182" s="43" t="s">
        <v>84</v>
      </c>
      <c r="U182" s="150"/>
      <c r="V182" s="150"/>
      <c r="W182" s="150"/>
      <c r="X182" s="150"/>
      <c r="Y182" s="150"/>
      <c r="Z182" s="150"/>
      <c r="AA182" s="150"/>
      <c r="AB182" s="150"/>
      <c r="AC182" s="150"/>
      <c r="AD182" s="150"/>
      <c r="AE182" s="150"/>
      <c r="AF182" s="150"/>
      <c r="AG182" s="150"/>
      <c r="AH182" s="150"/>
    </row>
    <row r="183" spans="1:34" x14ac:dyDescent="0.2">
      <c r="A183" s="71" t="s">
        <v>78</v>
      </c>
      <c r="B183" s="214"/>
      <c r="C183" s="214"/>
      <c r="D183" s="214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5"/>
      <c r="U183" s="150"/>
      <c r="V183" s="150"/>
      <c r="W183" s="150"/>
      <c r="X183" s="150"/>
      <c r="Y183" s="150"/>
      <c r="Z183" s="150"/>
      <c r="AA183" s="150"/>
      <c r="AB183" s="150"/>
      <c r="AC183" s="150"/>
      <c r="AD183" s="150"/>
      <c r="AE183" s="150"/>
      <c r="AF183" s="150"/>
      <c r="AG183" s="150"/>
      <c r="AH183" s="150"/>
    </row>
    <row r="184" spans="1:34" ht="18.75" customHeight="1" x14ac:dyDescent="0.2">
      <c r="A184" s="45"/>
      <c r="B184" s="205" t="s">
        <v>72</v>
      </c>
      <c r="C184" s="206"/>
      <c r="D184" s="206"/>
      <c r="E184" s="206"/>
      <c r="F184" s="206"/>
      <c r="G184" s="206"/>
      <c r="H184" s="206"/>
      <c r="I184" s="207"/>
      <c r="J184" s="41">
        <v>5</v>
      </c>
      <c r="K184" s="41"/>
      <c r="L184" s="41"/>
      <c r="M184" s="41"/>
      <c r="N184" s="42"/>
      <c r="O184" s="42"/>
      <c r="P184" s="42"/>
      <c r="Q184" s="41"/>
      <c r="R184" s="41"/>
      <c r="S184" s="43"/>
      <c r="T184" s="46"/>
      <c r="U184" s="150"/>
      <c r="V184" s="150"/>
      <c r="W184" s="150"/>
      <c r="X184" s="150"/>
      <c r="Y184" s="150"/>
      <c r="Z184" s="150"/>
      <c r="AA184" s="150"/>
      <c r="AB184" s="150"/>
      <c r="AC184" s="150"/>
      <c r="AD184" s="150"/>
      <c r="AE184" s="150"/>
      <c r="AF184" s="150"/>
      <c r="AG184" s="150"/>
      <c r="AH184" s="150"/>
    </row>
    <row r="185" spans="1:34" ht="20.25" customHeight="1" x14ac:dyDescent="0.2">
      <c r="A185" s="216" t="s">
        <v>73</v>
      </c>
      <c r="B185" s="217"/>
      <c r="C185" s="217"/>
      <c r="D185" s="217"/>
      <c r="E185" s="217"/>
      <c r="F185" s="217"/>
      <c r="G185" s="217"/>
      <c r="H185" s="217"/>
      <c r="I185" s="218"/>
      <c r="J185" s="47">
        <f>SUM(J175:J176,J178:J179,J181:J182,J184)</f>
        <v>35</v>
      </c>
      <c r="K185" s="47">
        <f t="shared" ref="K185:P185" si="71">SUM(K175:K176,K178:K179,K181:K182,K184)</f>
        <v>8</v>
      </c>
      <c r="L185" s="47">
        <f t="shared" si="71"/>
        <v>7</v>
      </c>
      <c r="M185" s="47">
        <f t="shared" si="71"/>
        <v>3</v>
      </c>
      <c r="N185" s="47">
        <f t="shared" si="71"/>
        <v>18</v>
      </c>
      <c r="O185" s="47">
        <f t="shared" si="71"/>
        <v>36</v>
      </c>
      <c r="P185" s="47">
        <f t="shared" si="71"/>
        <v>54</v>
      </c>
      <c r="Q185" s="49">
        <f>COUNTIF(Q175:Q176,"E")+COUNTIF(Q178:Q179,"E")+COUNTIF(Q181:Q182,"E")+COUNTIF(Q184,"E")</f>
        <v>5</v>
      </c>
      <c r="R185" s="49">
        <f>COUNTIF(R175:R176,"C")+COUNTIF(R178:R179,"C")+COUNTIF(R181:R182,"C")+COUNTIF(R184,"C")</f>
        <v>1</v>
      </c>
      <c r="S185" s="49">
        <f>COUNTIF(S175:S176,"VP")+COUNTIF(S178:S179,"VP")+COUNTIF(S181:S182,"VP")+COUNTIF(S184,"VP")</f>
        <v>0</v>
      </c>
      <c r="T185" s="48"/>
      <c r="U185" s="150"/>
      <c r="V185" s="150"/>
      <c r="W185" s="150"/>
      <c r="X185" s="150"/>
      <c r="Y185" s="150"/>
      <c r="Z185" s="150"/>
      <c r="AA185" s="150"/>
      <c r="AB185" s="150"/>
      <c r="AC185" s="150"/>
      <c r="AD185" s="150"/>
      <c r="AE185" s="150"/>
      <c r="AF185" s="150"/>
      <c r="AG185" s="150"/>
      <c r="AH185" s="150"/>
    </row>
    <row r="186" spans="1:34" ht="20.25" customHeight="1" x14ac:dyDescent="0.2">
      <c r="A186" s="219" t="s">
        <v>48</v>
      </c>
      <c r="B186" s="220"/>
      <c r="C186" s="220"/>
      <c r="D186" s="220"/>
      <c r="E186" s="220"/>
      <c r="F186" s="220"/>
      <c r="G186" s="220"/>
      <c r="H186" s="220"/>
      <c r="I186" s="220"/>
      <c r="J186" s="221"/>
      <c r="K186" s="47">
        <f>SUM(K175:K176,K178:K179,K181:K182)*14</f>
        <v>112</v>
      </c>
      <c r="L186" s="47">
        <f t="shared" ref="L186:P186" si="72">SUM(L175:L176,L178:L179,L181:L182)*14</f>
        <v>98</v>
      </c>
      <c r="M186" s="47">
        <f t="shared" si="72"/>
        <v>42</v>
      </c>
      <c r="N186" s="47">
        <f t="shared" si="72"/>
        <v>252</v>
      </c>
      <c r="O186" s="47">
        <f t="shared" si="72"/>
        <v>504</v>
      </c>
      <c r="P186" s="47">
        <f t="shared" si="72"/>
        <v>756</v>
      </c>
      <c r="Q186" s="225"/>
      <c r="R186" s="226"/>
      <c r="S186" s="226"/>
      <c r="T186" s="227"/>
      <c r="U186" s="150"/>
      <c r="V186" s="150"/>
      <c r="W186" s="150"/>
      <c r="X186" s="150"/>
      <c r="Y186" s="150"/>
      <c r="Z186" s="150"/>
      <c r="AA186" s="150"/>
      <c r="AB186" s="150"/>
      <c r="AC186" s="150"/>
      <c r="AD186" s="150"/>
      <c r="AE186" s="150"/>
      <c r="AF186" s="150"/>
      <c r="AG186" s="150"/>
      <c r="AH186" s="150"/>
    </row>
    <row r="187" spans="1:34" ht="20.25" customHeight="1" x14ac:dyDescent="0.2">
      <c r="A187" s="222"/>
      <c r="B187" s="223"/>
      <c r="C187" s="223"/>
      <c r="D187" s="223"/>
      <c r="E187" s="223"/>
      <c r="F187" s="223"/>
      <c r="G187" s="223"/>
      <c r="H187" s="223"/>
      <c r="I187" s="223"/>
      <c r="J187" s="224"/>
      <c r="K187" s="231">
        <f>SUM(K186:M186)</f>
        <v>252</v>
      </c>
      <c r="L187" s="232"/>
      <c r="M187" s="233"/>
      <c r="N187" s="231">
        <f>SUM(N186:O186)</f>
        <v>756</v>
      </c>
      <c r="O187" s="232"/>
      <c r="P187" s="233"/>
      <c r="Q187" s="228"/>
      <c r="R187" s="229"/>
      <c r="S187" s="229"/>
      <c r="T187" s="230"/>
      <c r="U187" s="150"/>
      <c r="V187" s="150"/>
      <c r="W187" s="150"/>
      <c r="X187" s="150"/>
      <c r="Y187" s="150"/>
      <c r="Z187" s="150"/>
      <c r="AA187" s="150"/>
      <c r="AB187" s="150"/>
      <c r="AC187" s="150"/>
      <c r="AD187" s="150"/>
      <c r="AE187" s="150"/>
      <c r="AF187" s="150"/>
      <c r="AG187" s="150"/>
      <c r="AH187" s="150"/>
    </row>
    <row r="188" spans="1:34" x14ac:dyDescent="0.2">
      <c r="U188" s="150"/>
      <c r="V188" s="150"/>
      <c r="W188" s="150"/>
      <c r="X188" s="150"/>
      <c r="Y188" s="150"/>
      <c r="Z188" s="150"/>
      <c r="AA188" s="150"/>
      <c r="AB188" s="150"/>
      <c r="AC188" s="150"/>
      <c r="AD188" s="150"/>
      <c r="AE188" s="150"/>
      <c r="AF188" s="150"/>
      <c r="AG188" s="150"/>
      <c r="AH188" s="150"/>
    </row>
    <row r="189" spans="1:34" x14ac:dyDescent="0.2">
      <c r="A189" s="208" t="s">
        <v>88</v>
      </c>
      <c r="B189" s="208"/>
      <c r="C189" s="208"/>
      <c r="D189" s="208"/>
      <c r="E189" s="208"/>
      <c r="F189" s="208"/>
      <c r="G189" s="208"/>
      <c r="H189" s="208"/>
      <c r="I189" s="208"/>
      <c r="J189" s="208"/>
      <c r="K189" s="208"/>
      <c r="L189" s="208"/>
      <c r="M189" s="208"/>
      <c r="N189" s="208"/>
      <c r="O189" s="208"/>
      <c r="P189" s="208"/>
      <c r="Q189" s="208"/>
      <c r="R189" s="208"/>
      <c r="S189" s="208"/>
      <c r="T189" s="208"/>
      <c r="U189" s="150"/>
      <c r="V189" s="150"/>
      <c r="W189" s="150"/>
      <c r="X189" s="150"/>
      <c r="Y189" s="150"/>
      <c r="Z189" s="150"/>
      <c r="AA189" s="150"/>
      <c r="AB189" s="150"/>
      <c r="AC189" s="150"/>
      <c r="AD189" s="150"/>
      <c r="AE189" s="150"/>
      <c r="AF189" s="150"/>
      <c r="AG189" s="150"/>
      <c r="AH189" s="150"/>
    </row>
    <row r="190" spans="1:34" x14ac:dyDescent="0.2">
      <c r="A190" s="208" t="s">
        <v>89</v>
      </c>
      <c r="B190" s="208"/>
      <c r="C190" s="208"/>
      <c r="D190" s="208"/>
      <c r="E190" s="208"/>
      <c r="F190" s="208"/>
      <c r="G190" s="208"/>
      <c r="H190" s="208"/>
      <c r="I190" s="208"/>
      <c r="J190" s="208"/>
      <c r="K190" s="208"/>
      <c r="L190" s="208"/>
      <c r="M190" s="208"/>
      <c r="N190" s="208"/>
      <c r="O190" s="208"/>
      <c r="P190" s="208"/>
      <c r="Q190" s="208"/>
      <c r="R190" s="208"/>
      <c r="S190" s="208"/>
      <c r="T190" s="208"/>
      <c r="U190" s="150"/>
      <c r="V190" s="150"/>
      <c r="W190" s="150"/>
      <c r="X190" s="150"/>
      <c r="Y190" s="150"/>
      <c r="Z190" s="150"/>
      <c r="AA190" s="150"/>
      <c r="AB190" s="150"/>
      <c r="AC190" s="150"/>
      <c r="AD190" s="150"/>
      <c r="AE190" s="150"/>
      <c r="AF190" s="150"/>
      <c r="AG190" s="150"/>
      <c r="AH190" s="150"/>
    </row>
    <row r="191" spans="1:34" x14ac:dyDescent="0.2">
      <c r="A191" s="208" t="s">
        <v>90</v>
      </c>
      <c r="B191" s="208"/>
      <c r="C191" s="208"/>
      <c r="D191" s="208"/>
      <c r="E191" s="208"/>
      <c r="F191" s="208"/>
      <c r="G191" s="208"/>
      <c r="H191" s="208"/>
      <c r="I191" s="208"/>
      <c r="J191" s="208"/>
      <c r="K191" s="208"/>
      <c r="L191" s="208"/>
      <c r="M191" s="208"/>
      <c r="N191" s="208"/>
      <c r="O191" s="208"/>
      <c r="P191" s="208"/>
      <c r="Q191" s="208"/>
      <c r="R191" s="208"/>
      <c r="S191" s="208"/>
      <c r="T191" s="208"/>
      <c r="U191" s="150"/>
      <c r="V191" s="150"/>
      <c r="W191" s="150"/>
      <c r="X191" s="150"/>
      <c r="Y191" s="150"/>
      <c r="Z191" s="150"/>
      <c r="AA191" s="150"/>
      <c r="AB191" s="150"/>
      <c r="AC191" s="150"/>
      <c r="AD191" s="150"/>
      <c r="AE191" s="150"/>
      <c r="AF191" s="150"/>
      <c r="AG191" s="150"/>
      <c r="AH191" s="150"/>
    </row>
    <row r="192" spans="1:34" x14ac:dyDescent="0.2">
      <c r="U192" s="150"/>
      <c r="V192" s="150"/>
      <c r="W192" s="150"/>
      <c r="X192" s="150"/>
      <c r="Y192" s="150"/>
      <c r="Z192" s="150"/>
      <c r="AA192" s="150"/>
      <c r="AB192" s="150"/>
      <c r="AC192" s="150"/>
      <c r="AD192" s="150"/>
      <c r="AE192" s="150"/>
      <c r="AF192" s="150"/>
      <c r="AG192" s="150"/>
      <c r="AH192" s="150"/>
    </row>
    <row r="193" spans="21:34" x14ac:dyDescent="0.2">
      <c r="U193" s="150"/>
      <c r="V193" s="150"/>
      <c r="W193" s="150"/>
      <c r="X193" s="150"/>
      <c r="Y193" s="150"/>
      <c r="Z193" s="150"/>
      <c r="AA193" s="150"/>
      <c r="AB193" s="150"/>
      <c r="AC193" s="150"/>
      <c r="AD193" s="150"/>
      <c r="AE193" s="150"/>
      <c r="AF193" s="150"/>
      <c r="AG193" s="150"/>
      <c r="AH193" s="150"/>
    </row>
    <row r="194" spans="21:34" x14ac:dyDescent="0.2">
      <c r="U194" s="150"/>
      <c r="V194" s="150"/>
      <c r="W194" s="150"/>
      <c r="X194" s="150"/>
      <c r="Y194" s="150"/>
      <c r="Z194" s="150"/>
      <c r="AA194" s="150"/>
      <c r="AB194" s="150"/>
      <c r="AC194" s="150"/>
      <c r="AD194" s="150"/>
      <c r="AE194" s="150"/>
      <c r="AF194" s="150"/>
      <c r="AG194" s="150"/>
      <c r="AH194" s="150"/>
    </row>
    <row r="195" spans="21:34" x14ac:dyDescent="0.2"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</row>
    <row r="196" spans="21:34" x14ac:dyDescent="0.2">
      <c r="U196" s="150"/>
      <c r="V196" s="150"/>
      <c r="W196" s="150"/>
      <c r="X196" s="150"/>
      <c r="Y196" s="150"/>
      <c r="Z196" s="150"/>
      <c r="AA196" s="150"/>
      <c r="AB196" s="150"/>
      <c r="AC196" s="150"/>
      <c r="AD196" s="150"/>
      <c r="AE196" s="150"/>
      <c r="AF196" s="150"/>
      <c r="AG196" s="150"/>
      <c r="AH196" s="150"/>
    </row>
  </sheetData>
  <sheetProtection formatCells="0" formatRows="0" insertRows="0"/>
  <mergeCells count="271">
    <mergeCell ref="B175:I175"/>
    <mergeCell ref="B181:I181"/>
    <mergeCell ref="A189:T189"/>
    <mergeCell ref="A190:T190"/>
    <mergeCell ref="A191:T191"/>
    <mergeCell ref="U171:AH172"/>
    <mergeCell ref="U173:AA196"/>
    <mergeCell ref="AB173:AH196"/>
    <mergeCell ref="A177:T177"/>
    <mergeCell ref="B178:I178"/>
    <mergeCell ref="A180:T180"/>
    <mergeCell ref="B182:I182"/>
    <mergeCell ref="A183:T183"/>
    <mergeCell ref="B184:I184"/>
    <mergeCell ref="A185:I185"/>
    <mergeCell ref="A186:J187"/>
    <mergeCell ref="Q186:T187"/>
    <mergeCell ref="K187:M187"/>
    <mergeCell ref="N187:P187"/>
    <mergeCell ref="B179:I179"/>
    <mergeCell ref="A171:T171"/>
    <mergeCell ref="B176:I176"/>
    <mergeCell ref="A172:A173"/>
    <mergeCell ref="B172:I173"/>
    <mergeCell ref="A167:G167"/>
    <mergeCell ref="H167:I167"/>
    <mergeCell ref="J167:K167"/>
    <mergeCell ref="L167:M167"/>
    <mergeCell ref="N167:O167"/>
    <mergeCell ref="P167:Q167"/>
    <mergeCell ref="S167:T167"/>
    <mergeCell ref="B165:G165"/>
    <mergeCell ref="H165:I165"/>
    <mergeCell ref="J165:K165"/>
    <mergeCell ref="L165:M165"/>
    <mergeCell ref="N165:O165"/>
    <mergeCell ref="P165:Q165"/>
    <mergeCell ref="S165:T165"/>
    <mergeCell ref="B166:G166"/>
    <mergeCell ref="H166:I166"/>
    <mergeCell ref="J166:K166"/>
    <mergeCell ref="L166:M166"/>
    <mergeCell ref="N166:O166"/>
    <mergeCell ref="P166:Q166"/>
    <mergeCell ref="S166:T166"/>
    <mergeCell ref="B150:I150"/>
    <mergeCell ref="B151:I151"/>
    <mergeCell ref="A152:I152"/>
    <mergeCell ref="K154:M154"/>
    <mergeCell ref="N154:P154"/>
    <mergeCell ref="A153:J154"/>
    <mergeCell ref="Q153:T154"/>
    <mergeCell ref="A162:B162"/>
    <mergeCell ref="A163:A164"/>
    <mergeCell ref="B163:G164"/>
    <mergeCell ref="H163:I164"/>
    <mergeCell ref="J163:O163"/>
    <mergeCell ref="P163:Q164"/>
    <mergeCell ref="R163:T163"/>
    <mergeCell ref="J164:K164"/>
    <mergeCell ref="L164:M164"/>
    <mergeCell ref="N164:O164"/>
    <mergeCell ref="S164:T164"/>
    <mergeCell ref="A146:T146"/>
    <mergeCell ref="B147:I147"/>
    <mergeCell ref="B148:I148"/>
    <mergeCell ref="A149:T149"/>
    <mergeCell ref="A137:J138"/>
    <mergeCell ref="A144:A145"/>
    <mergeCell ref="A143:T143"/>
    <mergeCell ref="J144:J145"/>
    <mergeCell ref="K144:M144"/>
    <mergeCell ref="N144:P144"/>
    <mergeCell ref="Q137:T138"/>
    <mergeCell ref="K138:M138"/>
    <mergeCell ref="N138:P138"/>
    <mergeCell ref="B144:I145"/>
    <mergeCell ref="Q144:S144"/>
    <mergeCell ref="T144:T145"/>
    <mergeCell ref="B135:I135"/>
    <mergeCell ref="A136:I136"/>
    <mergeCell ref="Q123:S123"/>
    <mergeCell ref="B132:I132"/>
    <mergeCell ref="B133:I133"/>
    <mergeCell ref="B129:I129"/>
    <mergeCell ref="A130:T130"/>
    <mergeCell ref="B131:I131"/>
    <mergeCell ref="B127:I127"/>
    <mergeCell ref="B102:I102"/>
    <mergeCell ref="A123:A124"/>
    <mergeCell ref="B123:I124"/>
    <mergeCell ref="A112:T112"/>
    <mergeCell ref="J123:J124"/>
    <mergeCell ref="K123:M123"/>
    <mergeCell ref="T123:T124"/>
    <mergeCell ref="N123:P123"/>
    <mergeCell ref="B134:I134"/>
    <mergeCell ref="B128:I128"/>
    <mergeCell ref="B103:I103"/>
    <mergeCell ref="B104:I104"/>
    <mergeCell ref="B105:I105"/>
    <mergeCell ref="B106:I106"/>
    <mergeCell ref="B107:I107"/>
    <mergeCell ref="A122:T122"/>
    <mergeCell ref="A125:T125"/>
    <mergeCell ref="B126:I126"/>
    <mergeCell ref="B109:I109"/>
    <mergeCell ref="B110:I110"/>
    <mergeCell ref="B113:I113"/>
    <mergeCell ref="K92:M92"/>
    <mergeCell ref="N92:P92"/>
    <mergeCell ref="Q91:T92"/>
    <mergeCell ref="A90:I90"/>
    <mergeCell ref="A91:J92"/>
    <mergeCell ref="T81:T82"/>
    <mergeCell ref="B81:I82"/>
    <mergeCell ref="K81:M81"/>
    <mergeCell ref="N81:P81"/>
    <mergeCell ref="A81:A82"/>
    <mergeCell ref="B49:I49"/>
    <mergeCell ref="B50:I50"/>
    <mergeCell ref="B51:I51"/>
    <mergeCell ref="B53:I53"/>
    <mergeCell ref="B75:I75"/>
    <mergeCell ref="A1:K1"/>
    <mergeCell ref="A3:K3"/>
    <mergeCell ref="K47:M47"/>
    <mergeCell ref="M19:T19"/>
    <mergeCell ref="M1:T1"/>
    <mergeCell ref="M14:T14"/>
    <mergeCell ref="A4:K5"/>
    <mergeCell ref="A35:T35"/>
    <mergeCell ref="A19:K19"/>
    <mergeCell ref="A17:K17"/>
    <mergeCell ref="M3:N3"/>
    <mergeCell ref="M5:N5"/>
    <mergeCell ref="D26:F26"/>
    <mergeCell ref="A18:K18"/>
    <mergeCell ref="N47:P47"/>
    <mergeCell ref="Q47:S47"/>
    <mergeCell ref="R3:T3"/>
    <mergeCell ref="R4:T4"/>
    <mergeCell ref="R5:T5"/>
    <mergeCell ref="T38:T39"/>
    <mergeCell ref="N38:P38"/>
    <mergeCell ref="K38:M38"/>
    <mergeCell ref="T47:T48"/>
    <mergeCell ref="Q38:S38"/>
    <mergeCell ref="A46:T46"/>
    <mergeCell ref="J47:J48"/>
    <mergeCell ref="A47:A48"/>
    <mergeCell ref="A38:A39"/>
    <mergeCell ref="B43:I43"/>
    <mergeCell ref="B44:I44"/>
    <mergeCell ref="B47:I48"/>
    <mergeCell ref="B40:I40"/>
    <mergeCell ref="B41:I41"/>
    <mergeCell ref="B42:I42"/>
    <mergeCell ref="A2:K2"/>
    <mergeCell ref="A6:K6"/>
    <mergeCell ref="O5:Q5"/>
    <mergeCell ref="O6:Q6"/>
    <mergeCell ref="O3:Q3"/>
    <mergeCell ref="O4:Q4"/>
    <mergeCell ref="M4:N4"/>
    <mergeCell ref="A10:K10"/>
    <mergeCell ref="M6:N6"/>
    <mergeCell ref="A7:K7"/>
    <mergeCell ref="A8:K8"/>
    <mergeCell ref="A9:K9"/>
    <mergeCell ref="M15:T15"/>
    <mergeCell ref="R6:T6"/>
    <mergeCell ref="M8:T11"/>
    <mergeCell ref="A15:K15"/>
    <mergeCell ref="J38:J39"/>
    <mergeCell ref="A37:T37"/>
    <mergeCell ref="M25:T31"/>
    <mergeCell ref="A20:K23"/>
    <mergeCell ref="M21:T23"/>
    <mergeCell ref="I26:K26"/>
    <mergeCell ref="B26:C26"/>
    <mergeCell ref="H26:H27"/>
    <mergeCell ref="A25:G25"/>
    <mergeCell ref="G26:G27"/>
    <mergeCell ref="A13:K13"/>
    <mergeCell ref="A14:K14"/>
    <mergeCell ref="A16:K16"/>
    <mergeCell ref="B38:I39"/>
    <mergeCell ref="M17:T17"/>
    <mergeCell ref="M18:T18"/>
    <mergeCell ref="M13:T13"/>
    <mergeCell ref="M16:T16"/>
    <mergeCell ref="A11:K11"/>
    <mergeCell ref="A12:K12"/>
    <mergeCell ref="U4:X4"/>
    <mergeCell ref="U5:X5"/>
    <mergeCell ref="U3:X3"/>
    <mergeCell ref="U6:X6"/>
    <mergeCell ref="U28:V28"/>
    <mergeCell ref="U29:V29"/>
    <mergeCell ref="U44:W44"/>
    <mergeCell ref="U54:W54"/>
    <mergeCell ref="U65:W65"/>
    <mergeCell ref="U9:Z12"/>
    <mergeCell ref="U15:Z17"/>
    <mergeCell ref="U20:AA23"/>
    <mergeCell ref="AA16:AB16"/>
    <mergeCell ref="J172:J173"/>
    <mergeCell ref="K172:M172"/>
    <mergeCell ref="N172:P172"/>
    <mergeCell ref="Q172:S172"/>
    <mergeCell ref="T172:T173"/>
    <mergeCell ref="A174:T174"/>
    <mergeCell ref="U75:W75"/>
    <mergeCell ref="U166:X166"/>
    <mergeCell ref="B111:I111"/>
    <mergeCell ref="A116:J117"/>
    <mergeCell ref="Q116:T117"/>
    <mergeCell ref="B108:I108"/>
    <mergeCell ref="N117:P117"/>
    <mergeCell ref="K117:M117"/>
    <mergeCell ref="A115:I115"/>
    <mergeCell ref="B114:I114"/>
    <mergeCell ref="Q99:S99"/>
    <mergeCell ref="A101:T101"/>
    <mergeCell ref="T99:T100"/>
    <mergeCell ref="A98:T98"/>
    <mergeCell ref="A97:T97"/>
    <mergeCell ref="K99:M99"/>
    <mergeCell ref="B89:I89"/>
    <mergeCell ref="Q81:S81"/>
    <mergeCell ref="A169:T169"/>
    <mergeCell ref="N99:P99"/>
    <mergeCell ref="A58:T58"/>
    <mergeCell ref="J59:J60"/>
    <mergeCell ref="K59:M59"/>
    <mergeCell ref="A99:A100"/>
    <mergeCell ref="B99:I100"/>
    <mergeCell ref="J99:J100"/>
    <mergeCell ref="N59:P59"/>
    <mergeCell ref="Q59:S59"/>
    <mergeCell ref="T59:T60"/>
    <mergeCell ref="A59:A60"/>
    <mergeCell ref="B59:I60"/>
    <mergeCell ref="A80:T80"/>
    <mergeCell ref="J81:J82"/>
    <mergeCell ref="B64:I64"/>
    <mergeCell ref="B70:I70"/>
    <mergeCell ref="B71:I71"/>
    <mergeCell ref="B72:I72"/>
    <mergeCell ref="J68:J69"/>
    <mergeCell ref="K68:M68"/>
    <mergeCell ref="N68:P68"/>
    <mergeCell ref="Q68:S68"/>
    <mergeCell ref="A68:A69"/>
    <mergeCell ref="B73:I73"/>
    <mergeCell ref="B74:I74"/>
    <mergeCell ref="B84:I84"/>
    <mergeCell ref="B85:I85"/>
    <mergeCell ref="B87:I87"/>
    <mergeCell ref="A83:T83"/>
    <mergeCell ref="A86:T86"/>
    <mergeCell ref="B52:I52"/>
    <mergeCell ref="B61:I61"/>
    <mergeCell ref="B62:I62"/>
    <mergeCell ref="B63:I63"/>
    <mergeCell ref="B54:I54"/>
    <mergeCell ref="T68:T69"/>
    <mergeCell ref="B65:I65"/>
    <mergeCell ref="B68:I69"/>
    <mergeCell ref="A67:T67"/>
  </mergeCells>
  <phoneticPr fontId="6" type="noConversion"/>
  <conditionalFormatting sqref="U166 U3:U6 U28:U29">
    <cfRule type="cellIs" dxfId="23" priority="47" operator="equal">
      <formula>"E bine"</formula>
    </cfRule>
  </conditionalFormatting>
  <conditionalFormatting sqref="U166 U3:U6 U28:U29">
    <cfRule type="cellIs" dxfId="22" priority="46" operator="equal">
      <formula>"NU e bine"</formula>
    </cfRule>
  </conditionalFormatting>
  <conditionalFormatting sqref="U3:V6 U28:V29">
    <cfRule type="cellIs" dxfId="21" priority="39" operator="equal">
      <formula>"Suma trebuie să fie 52"</formula>
    </cfRule>
    <cfRule type="cellIs" dxfId="20" priority="40" operator="equal">
      <formula>"Corect"</formula>
    </cfRule>
    <cfRule type="cellIs" dxfId="19" priority="41" operator="equal">
      <formula>SUM($B$28:$J$28)</formula>
    </cfRule>
    <cfRule type="cellIs" dxfId="18" priority="42" operator="lessThan">
      <formula>"(SUM(B28:K28)=52"</formula>
    </cfRule>
    <cfRule type="cellIs" dxfId="17" priority="43" operator="equal">
      <formula>52</formula>
    </cfRule>
    <cfRule type="cellIs" dxfId="16" priority="44" operator="equal">
      <formula>$K$28</formula>
    </cfRule>
    <cfRule type="cellIs" dxfId="15" priority="45" operator="equal">
      <formula>$B$28:$K$28=52</formula>
    </cfRule>
  </conditionalFormatting>
  <conditionalFormatting sqref="U166:V166 U3:V6 U28:V29">
    <cfRule type="cellIs" dxfId="14" priority="37" operator="equal">
      <formula>"Suma trebuie să fie 52"</formula>
    </cfRule>
    <cfRule type="cellIs" dxfId="13" priority="38" operator="equal">
      <formula>"Corect"</formula>
    </cfRule>
  </conditionalFormatting>
  <conditionalFormatting sqref="U3:X6">
    <cfRule type="cellIs" dxfId="12" priority="36" operator="equal">
      <formula>"Trebuie alocate cel puțin 20 de ore pe săptămână"</formula>
    </cfRule>
  </conditionalFormatting>
  <conditionalFormatting sqref="U166:X166 U28:V29">
    <cfRule type="cellIs" dxfId="11" priority="24" operator="equal">
      <formula>"Corect"</formula>
    </cfRule>
  </conditionalFormatting>
  <conditionalFormatting sqref="U28:V28">
    <cfRule type="cellIs" dxfId="10" priority="23" operator="equal">
      <formula>"Correct"</formula>
    </cfRule>
  </conditionalFormatting>
  <conditionalFormatting sqref="U44:W44 U54:W54 U65:W65 U75:W75">
    <cfRule type="cellIs" dxfId="9" priority="20" operator="equal">
      <formula>"E trebuie să fie cel puțin egal cu C+VP"</formula>
    </cfRule>
    <cfRule type="cellIs" dxfId="8" priority="21" operator="equal">
      <formula>"Corect"</formula>
    </cfRule>
  </conditionalFormatting>
  <conditionalFormatting sqref="U166:V166">
    <cfRule type="cellIs" dxfId="7" priority="2" operator="equal">
      <formula>"Nu corespunde cu tabelul de opționale"</formula>
    </cfRule>
    <cfRule type="cellIs" dxfId="6" priority="3" operator="equal">
      <formula>"Suma trebuie să fie 52"</formula>
    </cfRule>
    <cfRule type="cellIs" dxfId="5" priority="4" operator="equal">
      <formula>"Corect"</formula>
    </cfRule>
    <cfRule type="cellIs" dxfId="4" priority="5" operator="equal">
      <formula>SUM($B$28:$J$28)</formula>
    </cfRule>
    <cfRule type="cellIs" dxfId="3" priority="6" operator="lessThan">
      <formula>"(SUM(B28:K28)=52"</formula>
    </cfRule>
    <cfRule type="cellIs" dxfId="2" priority="7" operator="equal">
      <formula>52</formula>
    </cfRule>
    <cfRule type="cellIs" dxfId="1" priority="8" operator="equal">
      <formula>$K$28</formula>
    </cfRule>
    <cfRule type="cellIs" dxfId="0" priority="9" operator="equal">
      <formula>$B$28:$K$28=52</formula>
    </cfRule>
  </conditionalFormatting>
  <dataValidations disablePrompts="1" count="6">
    <dataValidation type="list" allowBlank="1" showInputMessage="1" showErrorMessage="1" sqref="R178:R179 R70:R74 R49:R53 R84:R85 R40:R43 R87:R89 R61:R64 R181:R182 R175:R176 R184">
      <formula1>$R$39</formula1>
    </dataValidation>
    <dataValidation type="list" allowBlank="1" showInputMessage="1" showErrorMessage="1" sqref="Q178:Q179 Q70:Q74 Q49:Q53 Q84:Q85 Q40:Q43 Q87:Q89 Q61:Q64 Q181:Q182 Q175:Q176 Q184">
      <formula1>$Q$39</formula1>
    </dataValidation>
    <dataValidation type="list" allowBlank="1" showInputMessage="1" showErrorMessage="1" sqref="S178:S179 S70:S74 S61:S64 S49:S53 S87:S89 S84:S85 S40:S43 S181:S182 S175:S176 S184">
      <formula1>$S$39</formula1>
    </dataValidation>
    <dataValidation type="list" allowBlank="1" showInputMessage="1" showErrorMessage="1" sqref="T70:T74 T113 T126:T128 T131:T134 T49:T53 T84:T85 T87:T89 T40:T43 T61:T64 T102:T110 T147 T150">
      <formula1>$O$36:$S$36</formula1>
    </dataValidation>
    <dataValidation type="list" allowBlank="1" showInputMessage="1" showErrorMessage="1" sqref="T129 T111 T148">
      <formula1>$P$36:$S$36</formula1>
    </dataValidation>
    <dataValidation type="list" allowBlank="1" showInputMessage="1" showErrorMessage="1" sqref="B113:I113 B126:I128 B131:I134 B102:I110 B147:I147 B150:I150">
      <formula1>$B$38:$B$94</formula1>
    </dataValidation>
  </dataValidations>
  <pageMargins left="0.7" right="0.7" top="0.75" bottom="0.75" header="0.3" footer="0.3"/>
  <pageSetup paperSize="9" orientation="landscape" blackAndWhite="1" r:id="rId1"/>
  <headerFooter>
    <oddHeader>&amp;C
&amp;R&amp;P</oddHeader>
    <oddFooter>&amp;LRECTOR,
Acad.Prof.univ.dr. Ioan Aurel POP&amp;CDECAN,
Prof.dr. Adrian Petrusel&amp;R                                           DIRECTOR DE DEPARTAMENT,
Conf.dr. Andras Szilard</oddFooter>
  </headerFooter>
  <ignoredErrors>
    <ignoredError sqref="Q44" formula="1"/>
    <ignoredError sqref="K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721C1E-411F-4E08-9356-9631CCC85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A47E3DA-5698-49A4-92EA-B6C4521E51D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Liliana</cp:lastModifiedBy>
  <cp:lastPrinted>2018-03-14T11:11:07Z</cp:lastPrinted>
  <dcterms:created xsi:type="dcterms:W3CDTF">2013-06-27T08:19:59Z</dcterms:created>
  <dcterms:modified xsi:type="dcterms:W3CDTF">2018-03-14T11:12:05Z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