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0" yWindow="-20" windowWidth="19420" windowHeight="4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64" i="1"/>
  <c r="A123"/>
  <c r="J123"/>
  <c r="K123"/>
  <c r="L123"/>
  <c r="M123"/>
  <c r="N123"/>
  <c r="O123"/>
  <c r="P123"/>
  <c r="Q123"/>
  <c r="R123"/>
  <c r="S123"/>
  <c r="T123"/>
  <c r="L85"/>
  <c r="M85"/>
  <c r="N85"/>
  <c r="K85"/>
  <c r="T84"/>
  <c r="S84"/>
  <c r="R84"/>
  <c r="K84"/>
  <c r="L84"/>
  <c r="M84"/>
  <c r="N84"/>
  <c r="J84"/>
  <c r="M157"/>
  <c r="M156"/>
  <c r="O153"/>
  <c r="O152"/>
  <c r="O150"/>
  <c r="O149"/>
  <c r="O147"/>
  <c r="O146"/>
  <c r="T122"/>
  <c r="S122"/>
  <c r="R122"/>
  <c r="N122"/>
  <c r="M122"/>
  <c r="L122"/>
  <c r="K122"/>
  <c r="J122"/>
  <c r="T121"/>
  <c r="S121"/>
  <c r="R121"/>
  <c r="N121"/>
  <c r="M121"/>
  <c r="L121"/>
  <c r="K121"/>
  <c r="J121"/>
  <c r="T120"/>
  <c r="S120"/>
  <c r="R120"/>
  <c r="N120"/>
  <c r="M120"/>
  <c r="L120"/>
  <c r="K120"/>
  <c r="J120"/>
  <c r="T117"/>
  <c r="S117"/>
  <c r="R117"/>
  <c r="N117"/>
  <c r="M117"/>
  <c r="L117"/>
  <c r="K117"/>
  <c r="J117"/>
  <c r="T116"/>
  <c r="S116"/>
  <c r="R116"/>
  <c r="N116"/>
  <c r="M116"/>
  <c r="L116"/>
  <c r="K116"/>
  <c r="J116"/>
  <c r="T115"/>
  <c r="S115"/>
  <c r="R115"/>
  <c r="N115"/>
  <c r="M115"/>
  <c r="L115"/>
  <c r="K115"/>
  <c r="J115"/>
  <c r="T114"/>
  <c r="S114"/>
  <c r="R114"/>
  <c r="N114"/>
  <c r="M114"/>
  <c r="L114"/>
  <c r="K114"/>
  <c r="J114"/>
  <c r="T113"/>
  <c r="S113"/>
  <c r="R113"/>
  <c r="N113"/>
  <c r="M113"/>
  <c r="L113"/>
  <c r="K113"/>
  <c r="J113"/>
  <c r="T112"/>
  <c r="S112"/>
  <c r="R112"/>
  <c r="N112"/>
  <c r="M112"/>
  <c r="L112"/>
  <c r="K112"/>
  <c r="J112"/>
  <c r="T102"/>
  <c r="S102"/>
  <c r="R102"/>
  <c r="Q102"/>
  <c r="P102"/>
  <c r="O102"/>
  <c r="N102"/>
  <c r="M102"/>
  <c r="L102"/>
  <c r="K102"/>
  <c r="J102"/>
  <c r="T99"/>
  <c r="S99"/>
  <c r="R99"/>
  <c r="N99"/>
  <c r="M99"/>
  <c r="L99"/>
  <c r="K99"/>
  <c r="J99"/>
  <c r="T98"/>
  <c r="S98"/>
  <c r="R98"/>
  <c r="N98"/>
  <c r="M98"/>
  <c r="L98"/>
  <c r="K98"/>
  <c r="J98"/>
  <c r="T97"/>
  <c r="S97"/>
  <c r="R97"/>
  <c r="N97"/>
  <c r="M97"/>
  <c r="L97"/>
  <c r="K97"/>
  <c r="J97"/>
  <c r="T96"/>
  <c r="S96"/>
  <c r="R96"/>
  <c r="N96"/>
  <c r="M96"/>
  <c r="L96"/>
  <c r="K96"/>
  <c r="J96"/>
  <c r="T95"/>
  <c r="S95"/>
  <c r="R95"/>
  <c r="N95"/>
  <c r="M95"/>
  <c r="L95"/>
  <c r="K95"/>
  <c r="J95"/>
  <c r="T94"/>
  <c r="S94"/>
  <c r="R94"/>
  <c r="N94"/>
  <c r="M94"/>
  <c r="O83"/>
  <c r="O82"/>
  <c r="O80"/>
  <c r="O79"/>
  <c r="O77"/>
  <c r="O76"/>
  <c r="M67"/>
  <c r="O66"/>
  <c r="O122" s="1"/>
  <c r="O65"/>
  <c r="O121" s="1"/>
  <c r="O64"/>
  <c r="O120" s="1"/>
  <c r="O58"/>
  <c r="O117" s="1"/>
  <c r="O57"/>
  <c r="O99" s="1"/>
  <c r="O56"/>
  <c r="O116" s="1"/>
  <c r="O55"/>
  <c r="M59"/>
  <c r="O49"/>
  <c r="O98" s="1"/>
  <c r="O48"/>
  <c r="O97" s="1"/>
  <c r="O47"/>
  <c r="O96" s="1"/>
  <c r="O46"/>
  <c r="M50"/>
  <c r="O40"/>
  <c r="O95" s="1"/>
  <c r="O39"/>
  <c r="O38"/>
  <c r="O113" s="1"/>
  <c r="O37"/>
  <c r="M41"/>
  <c r="O85" l="1"/>
  <c r="O84"/>
  <c r="O94"/>
  <c r="O112"/>
  <c r="O115"/>
  <c r="O114"/>
  <c r="M100"/>
  <c r="M124"/>
  <c r="M103"/>
  <c r="M118"/>
  <c r="M105" l="1"/>
  <c r="M104"/>
  <c r="M126"/>
  <c r="M125"/>
  <c r="U67"/>
  <c r="P64" l="1"/>
  <c r="P120" s="1"/>
  <c r="Q120"/>
  <c r="U59"/>
  <c r="U50" l="1"/>
  <c r="U41"/>
  <c r="N157" l="1"/>
  <c r="L157"/>
  <c r="K157"/>
  <c r="T156"/>
  <c r="S156"/>
  <c r="R156"/>
  <c r="N156"/>
  <c r="L156"/>
  <c r="K156"/>
  <c r="J156"/>
  <c r="Q152"/>
  <c r="Q146"/>
  <c r="Q150"/>
  <c r="Q153"/>
  <c r="Q149"/>
  <c r="Q147"/>
  <c r="P150" l="1"/>
  <c r="O156"/>
  <c r="Q156"/>
  <c r="O157"/>
  <c r="Q157"/>
  <c r="K158"/>
  <c r="P152"/>
  <c r="P146"/>
  <c r="P153"/>
  <c r="P147"/>
  <c r="P149"/>
  <c r="P157" l="1"/>
  <c r="O158" s="1"/>
  <c r="P156"/>
  <c r="Q83" l="1"/>
  <c r="Q82"/>
  <c r="Q80"/>
  <c r="Q66"/>
  <c r="Q122" s="1"/>
  <c r="Q65"/>
  <c r="Q121" s="1"/>
  <c r="P83" l="1"/>
  <c r="P80"/>
  <c r="A122"/>
  <c r="A121"/>
  <c r="A120"/>
  <c r="A117"/>
  <c r="A116"/>
  <c r="A115"/>
  <c r="A114"/>
  <c r="A113"/>
  <c r="A112"/>
  <c r="A102"/>
  <c r="A99" l="1"/>
  <c r="A98"/>
  <c r="A97"/>
  <c r="A96" l="1"/>
  <c r="A95"/>
  <c r="L94"/>
  <c r="K94"/>
  <c r="J94"/>
  <c r="A94"/>
  <c r="Q40" l="1"/>
  <c r="Q95" s="1"/>
  <c r="T124"/>
  <c r="S124"/>
  <c r="R124"/>
  <c r="N124"/>
  <c r="L124"/>
  <c r="K124"/>
  <c r="J124"/>
  <c r="T118"/>
  <c r="S118"/>
  <c r="N118"/>
  <c r="L118"/>
  <c r="K118"/>
  <c r="J118"/>
  <c r="T103"/>
  <c r="S103"/>
  <c r="R103"/>
  <c r="N103"/>
  <c r="L103"/>
  <c r="K103"/>
  <c r="J103"/>
  <c r="Q79"/>
  <c r="P82"/>
  <c r="Q77"/>
  <c r="Q76"/>
  <c r="T67"/>
  <c r="S67"/>
  <c r="R67"/>
  <c r="N67"/>
  <c r="L67"/>
  <c r="K67"/>
  <c r="J67"/>
  <c r="T59"/>
  <c r="S59"/>
  <c r="R59"/>
  <c r="N59"/>
  <c r="L59"/>
  <c r="K59"/>
  <c r="J59"/>
  <c r="Q58"/>
  <c r="Q117" s="1"/>
  <c r="Q57"/>
  <c r="Q99" s="1"/>
  <c r="Q56"/>
  <c r="Q116" s="1"/>
  <c r="Q55"/>
  <c r="T50"/>
  <c r="S50"/>
  <c r="R50"/>
  <c r="N50"/>
  <c r="L50"/>
  <c r="K50"/>
  <c r="J50"/>
  <c r="Q49"/>
  <c r="Q98" s="1"/>
  <c r="Q48"/>
  <c r="Q97" s="1"/>
  <c r="Q47"/>
  <c r="Q96" s="1"/>
  <c r="Q46"/>
  <c r="K41"/>
  <c r="Q39"/>
  <c r="Q38"/>
  <c r="Q113" s="1"/>
  <c r="T41"/>
  <c r="S41"/>
  <c r="R41"/>
  <c r="Q37"/>
  <c r="N41"/>
  <c r="L41"/>
  <c r="J41"/>
  <c r="P76" l="1"/>
  <c r="Q85"/>
  <c r="Q84"/>
  <c r="Q115"/>
  <c r="Q112"/>
  <c r="Q114"/>
  <c r="Q94"/>
  <c r="R118"/>
  <c r="R125" s="1"/>
  <c r="S136"/>
  <c r="O59"/>
  <c r="O5" s="1"/>
  <c r="T136"/>
  <c r="T138" s="1"/>
  <c r="P77"/>
  <c r="J137"/>
  <c r="Q59"/>
  <c r="P47"/>
  <c r="P96" s="1"/>
  <c r="P48"/>
  <c r="P97" s="1"/>
  <c r="P49"/>
  <c r="P98" s="1"/>
  <c r="P57"/>
  <c r="P99" s="1"/>
  <c r="P58"/>
  <c r="P117" s="1"/>
  <c r="P79"/>
  <c r="L125"/>
  <c r="N126"/>
  <c r="S125"/>
  <c r="O124"/>
  <c r="O118"/>
  <c r="O103"/>
  <c r="Q50"/>
  <c r="P65"/>
  <c r="P121" s="1"/>
  <c r="Q124"/>
  <c r="Q103"/>
  <c r="P40"/>
  <c r="P95" s="1"/>
  <c r="O41"/>
  <c r="O4" s="1"/>
  <c r="P37"/>
  <c r="J125"/>
  <c r="L126"/>
  <c r="T125"/>
  <c r="N100"/>
  <c r="N104" s="1"/>
  <c r="K100"/>
  <c r="K104" s="1"/>
  <c r="S100"/>
  <c r="S104" s="1"/>
  <c r="L100"/>
  <c r="L104" s="1"/>
  <c r="R100"/>
  <c r="R104" s="1"/>
  <c r="T100"/>
  <c r="T104" s="1"/>
  <c r="P55"/>
  <c r="J100"/>
  <c r="J104" s="1"/>
  <c r="U104" s="1"/>
  <c r="U125" s="1"/>
  <c r="P39"/>
  <c r="O67"/>
  <c r="R5" s="1"/>
  <c r="Q41"/>
  <c r="P46"/>
  <c r="P38"/>
  <c r="P113" s="1"/>
  <c r="O50"/>
  <c r="R4" s="1"/>
  <c r="P56"/>
  <c r="P116" s="1"/>
  <c r="P66"/>
  <c r="P122" s="1"/>
  <c r="K86"/>
  <c r="Q67"/>
  <c r="N125"/>
  <c r="K126"/>
  <c r="K125"/>
  <c r="P84" l="1"/>
  <c r="P85"/>
  <c r="P112"/>
  <c r="P114"/>
  <c r="P115"/>
  <c r="P94"/>
  <c r="S138"/>
  <c r="U137" s="1"/>
  <c r="Q118"/>
  <c r="J136"/>
  <c r="H137"/>
  <c r="K127"/>
  <c r="Q100"/>
  <c r="Q105" s="1"/>
  <c r="K105"/>
  <c r="P124"/>
  <c r="P103"/>
  <c r="O125"/>
  <c r="O126"/>
  <c r="O100"/>
  <c r="O104" s="1"/>
  <c r="N105"/>
  <c r="L105"/>
  <c r="P50"/>
  <c r="P41"/>
  <c r="P67"/>
  <c r="P59"/>
  <c r="P118" l="1"/>
  <c r="P126" s="1"/>
  <c r="O127" s="1"/>
  <c r="U136"/>
  <c r="U138" s="1"/>
  <c r="Q125"/>
  <c r="Q126"/>
  <c r="O86"/>
  <c r="L137"/>
  <c r="O137" s="1"/>
  <c r="Q104"/>
  <c r="H136"/>
  <c r="J138"/>
  <c r="K106"/>
  <c r="P100"/>
  <c r="P105" s="1"/>
  <c r="O105"/>
  <c r="P125" l="1"/>
  <c r="L136"/>
  <c r="L138" s="1"/>
  <c r="O106"/>
  <c r="H138"/>
  <c r="Q137" s="1"/>
  <c r="P104"/>
  <c r="O136" l="1"/>
  <c r="O138" s="1"/>
  <c r="Q136"/>
  <c r="Q138" s="1"/>
</calcChain>
</file>

<file path=xl/sharedStrings.xml><?xml version="1.0" encoding="utf-8"?>
<sst xmlns="http://schemas.openxmlformats.org/spreadsheetml/2006/main" count="383" uniqueCount="157">
  <si>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</si>
  <si>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</si>
  <si>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</si>
  <si>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</si>
  <si>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</si>
  <si>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</si>
  <si>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</si>
  <si>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</si>
  <si>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</si>
  <si>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</si>
  <si>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</si>
  <si>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</si>
  <si>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</si>
  <si>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</si>
  <si>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</si>
  <si>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</si>
  <si>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</si>
  <si>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</si>
  <si>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</si>
  <si>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</si>
  <si>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</si>
  <si>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</si>
  <si>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</si>
  <si>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</si>
  <si>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</si>
  <si>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</si>
  <si>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</si>
  <si>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</si>
  <si>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</si>
  <si>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</si>
  <si>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</si>
  <si>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</si>
  <si>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</si>
  <si>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</si>
  <si>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</si>
  <si>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</si>
  <si>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</si>
  <si>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</si>
  <si>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</si>
  <si>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</si>
  <si>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</si>
  <si>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</si>
  <si>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</si>
  <si>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</si>
  <si>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</si>
  <si>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</si>
  <si>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</si>
  <si>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</si>
  <si>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</si>
  <si>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</si>
  <si>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</si>
  <si>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</si>
  <si>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</si>
  <si>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</si>
  <si>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</si>
  <si>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</si>
  <si>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</si>
  <si>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</si>
  <si>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</si>
  <si>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</si>
  <si>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</si>
  <si>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</si>
  <si>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</si>
  <si>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</si>
  <si>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</si>
  <si>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</si>
  <si>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</si>
  <si>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</si>
  <si>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 xml:space="preserve">Titlul absolventului: MASTER'S DEGREE </t>
  </si>
  <si>
    <t>DISCIPLINE DE SPECIALITATE (DS)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</si>
  <si>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</si>
  <si>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</si>
  <si>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</si>
  <si>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</si>
  <si>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</si>
  <si>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</si>
  <si>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</si>
  <si>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</si>
  <si>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</si>
  <si>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</si>
  <si>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</si>
  <si>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</si>
  <si>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</si>
  <si>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</si>
  <si>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</si>
  <si>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</si>
  <si>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</si>
  <si>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</si>
  <si>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</si>
  <si>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</si>
  <si>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</si>
  <si>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</si>
  <si>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</si>
  <si>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PLAN DE ÎNVĂŢĂMÂNT  valabil începând din anul universitar 2017-2018</t>
  </si>
  <si>
    <t>Didactica domeniului şi dezvoltăriI în didactica specialităţii (învăţământ liceal, postliceal, universitar)</t>
  </si>
  <si>
    <t>Disciplină opțională 1</t>
  </si>
  <si>
    <t>Disciplină opțională 2</t>
  </si>
  <si>
    <t>L</t>
  </si>
  <si>
    <t>P</t>
  </si>
  <si>
    <t>FACULTATEA DE MATEMATICĂ ŞI INFORMATICĂ</t>
  </si>
  <si>
    <r>
      <t xml:space="preserve">Domeniul: </t>
    </r>
    <r>
      <rPr>
        <b/>
        <sz val="10"/>
        <color indexed="8"/>
        <rFont val="Times New Roman"/>
        <family val="1"/>
      </rPr>
      <t>Informatică</t>
    </r>
  </si>
  <si>
    <r>
      <t xml:space="preserve">Specializarea/Programul de studiu: </t>
    </r>
    <r>
      <rPr>
        <b/>
        <sz val="10"/>
        <rFont val="Times New Roman"/>
        <family val="1"/>
      </rPr>
      <t xml:space="preserve">Proiectarea si dezvoltarea aplicaţiilor enterprise </t>
    </r>
  </si>
  <si>
    <r>
      <t xml:space="preserve">Limba de predare: </t>
    </r>
    <r>
      <rPr>
        <b/>
        <sz val="10"/>
        <color indexed="8"/>
        <rFont val="Times New Roman"/>
        <family val="1"/>
      </rPr>
      <t>Maghiară</t>
    </r>
  </si>
  <si>
    <r>
      <rPr>
        <b/>
        <sz val="10"/>
        <color indexed="8"/>
        <rFont val="Times New Roman"/>
        <family val="1"/>
      </rPr>
      <t xml:space="preserve">VI.  UNIVERSITĂŢI EUROPENE DE REFERINŢĂ:
</t>
    </r>
    <r>
      <rPr>
        <sz val="10"/>
        <color indexed="8"/>
        <rFont val="Times New Roman"/>
        <family val="1"/>
      </rPr>
      <t xml:space="preserve">
Planul de învăţământ urmează în proporţie de 60% planurile de învăţământ  ale ETH Zurich, University of Szeged, Univ. Paul Sabatier Toulouse III, Johannes Keppler Univ.Linz. 
Planul reflectă recomandările  Association of Computing Machinery şi IEEE Computer Society.                                                                                                           </t>
    </r>
  </si>
  <si>
    <t>MMM8061</t>
  </si>
  <si>
    <t>Managementul proiectelor enterprise</t>
  </si>
  <si>
    <t>MMM8062</t>
  </si>
  <si>
    <t>Metode agile şi strategii de dezvoltare enterprise</t>
  </si>
  <si>
    <t>MMM8144</t>
  </si>
  <si>
    <t>Proiectare bazata pe sabloane si componente</t>
  </si>
  <si>
    <t>MMM8145</t>
  </si>
  <si>
    <t>Metode avansate de gestionare a datelor</t>
  </si>
  <si>
    <t>MMM8146</t>
  </si>
  <si>
    <t>Metode şi instrumente pentru dezvoltarea sistemelor Enterprise</t>
  </si>
  <si>
    <t>MMM8063</t>
  </si>
  <si>
    <t>Arhitecturi orientate pe servicii şi bazate pe componente</t>
  </si>
  <si>
    <t>MMM8064</t>
  </si>
  <si>
    <t>Proiectare şi dezvoltare bazată pe modele</t>
  </si>
  <si>
    <t>MMM9001</t>
  </si>
  <si>
    <t>Metodologia cercetării ştiinţifice de informatică</t>
  </si>
  <si>
    <t>MME8072</t>
  </si>
  <si>
    <t>Dezvoltarea aplicaţiilor mobile (în engleză)</t>
  </si>
  <si>
    <t>MMM8066</t>
  </si>
  <si>
    <t>Metrici software şi managementul calităţii</t>
  </si>
  <si>
    <t>MMX9901</t>
  </si>
  <si>
    <t>Curs opţional 1</t>
  </si>
  <si>
    <t>MMX9902</t>
  </si>
  <si>
    <t>Curs opţional 2 (în engleză)</t>
  </si>
  <si>
    <t>MMM9012</t>
  </si>
  <si>
    <t>MMM9009</t>
  </si>
  <si>
    <t>Proiect de cercetare în inginerie software</t>
  </si>
  <si>
    <t>MMM8018</t>
  </si>
  <si>
    <t>Securitatea sistemelor de calcul</t>
  </si>
  <si>
    <t>MME8048</t>
  </si>
  <si>
    <t>Metode avansate de analiza datelor</t>
  </si>
  <si>
    <t>MME8074</t>
  </si>
  <si>
    <t>Interacţiune om-calculator (în engleză)</t>
  </si>
  <si>
    <t>MME8020</t>
  </si>
  <si>
    <t>Metode de simulare (în engleză)</t>
  </si>
  <si>
    <t>CURS OPȚIONAL 1 (An II, Semestrul 3)</t>
  </si>
  <si>
    <t>MMM3402</t>
  </si>
  <si>
    <t>Elaborarea lucrării de disertaţie</t>
  </si>
  <si>
    <t>CURS OPȚIONAL 2 (An II, Semestrul 3)</t>
  </si>
  <si>
    <t>CURS OPȚIONAL 3 (An II, Semestrul 4)</t>
  </si>
  <si>
    <t>MMX9916</t>
  </si>
  <si>
    <t>Curs opțional 6 (Practică)</t>
  </si>
  <si>
    <t>Practică de specialitate</t>
  </si>
  <si>
    <t>MMM9013</t>
  </si>
  <si>
    <t>Practică de cercetare</t>
  </si>
  <si>
    <r>
      <rPr>
        <b/>
        <sz val="10"/>
        <color indexed="8"/>
        <rFont val="Times New Roman"/>
        <family val="1"/>
      </rPr>
      <t xml:space="preserve">    84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</si>
  <si>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36</t>
    </r>
    <r>
      <rPr>
        <sz val="10"/>
        <color indexed="8"/>
        <rFont val="Times New Roman"/>
        <family val="1"/>
      </rPr>
      <t xml:space="preserve"> de credite la disciplinele opţionale;</t>
    </r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</si>
  <si>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
- perioada iunie-iulie (1 săptămână)
- Proba: Prezentarea şi susţinerea lucrării de disertație - 10 credite
</t>
    </r>
  </si>
  <si>
    <t>Sem. 3: Se alege  o disciplină din pachetul: MMX9901</t>
  </si>
  <si>
    <t>Sem. 3: Se alege  o disciplină din pachetul: MMX9902</t>
  </si>
  <si>
    <t>Sem. 4: Se alege  o disciplină din pachetul: MMX9903</t>
  </si>
  <si>
    <t>În contul a cel mult 1 discipline opţionale generale, studentul are dreptul să aleagă 1 discipline de la alte specializări ale facultăţilor din Universitatea „Babeş-Bolyai”.</t>
  </si>
  <si>
    <t xml:space="preserve">Anexă la Planul de Învățământ specializarea / programul de studiu: Proiectarea si dezvoltarea aplicaţiilor enterprise </t>
  </si>
</sst>
</file>

<file path=xl/styles.xml><?xml version="1.0" encoding="utf-8"?>
<styleSheet xmlns="http://schemas.openxmlformats.org/spreadsheetml/2006/main">
  <numFmts count="1">
    <numFmt numFmtId="164" formatCode="0;\-0;;@"/>
  </numFmts>
  <fonts count="14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9" fontId="9" fillId="0" borderId="1" xfId="0" applyNumberFormat="1" applyFont="1" applyBorder="1" applyAlignment="1" applyProtection="1">
      <alignment horizontal="center" vertical="center"/>
    </xf>
    <xf numFmtId="9" fontId="8" fillId="0" borderId="1" xfId="0" applyNumberFormat="1" applyFont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Alignment="1">
      <alignment wrapText="1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2" fillId="0" borderId="0" xfId="0" applyFont="1" applyFill="1" applyAlignment="1">
      <alignment vertical="center" wrapText="1"/>
    </xf>
    <xf numFmtId="0" fontId="1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0" fontId="11" fillId="0" borderId="0" xfId="0" applyFont="1" applyFill="1" applyAlignment="1" applyProtection="1">
      <alignment wrapText="1"/>
      <protection locked="0"/>
    </xf>
    <xf numFmtId="0" fontId="0" fillId="0" borderId="0" xfId="0" applyFill="1" applyAlignment="1">
      <alignment wrapText="1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7"/>
  <sheetViews>
    <sheetView tabSelected="1" workbookViewId="0">
      <selection sqref="A1:K1"/>
    </sheetView>
  </sheetViews>
  <sheetFormatPr defaultColWidth="9.1796875" defaultRowHeight="13"/>
  <cols>
    <col min="1" max="1" width="9.26953125" style="1" customWidth="1"/>
    <col min="2" max="2" width="5.453125" style="1" customWidth="1"/>
    <col min="3" max="3" width="5.7265625" style="1" customWidth="1"/>
    <col min="4" max="4" width="3.7265625" style="1" customWidth="1"/>
    <col min="5" max="5" width="3.81640625" style="1" customWidth="1"/>
    <col min="6" max="6" width="3.7265625" style="1" customWidth="1"/>
    <col min="7" max="7" width="7.81640625" style="1" customWidth="1"/>
    <col min="8" max="8" width="7.26953125" style="1" customWidth="1"/>
    <col min="9" max="9" width="5.81640625" style="1" customWidth="1"/>
    <col min="10" max="10" width="7.26953125" style="1" customWidth="1"/>
    <col min="11" max="11" width="5.7265625" style="1" customWidth="1"/>
    <col min="12" max="12" width="6.1796875" style="1" customWidth="1"/>
    <col min="13" max="13" width="6.1796875" style="52" customWidth="1"/>
    <col min="14" max="14" width="5.54296875" style="1" customWidth="1"/>
    <col min="15" max="19" width="6" style="1" customWidth="1"/>
    <col min="20" max="20" width="6.1796875" style="1" customWidth="1"/>
    <col min="21" max="21" width="9.26953125" style="1" customWidth="1"/>
    <col min="22" max="16384" width="9.1796875" style="1"/>
  </cols>
  <sheetData>
    <row r="1" spans="1:21" ht="15.75" customHeight="1">
      <c r="A1" s="209" t="s">
        <v>93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M1" s="188" t="s">
        <v>19</v>
      </c>
      <c r="N1" s="188"/>
      <c r="O1" s="188"/>
      <c r="P1" s="188"/>
      <c r="Q1" s="188"/>
      <c r="R1" s="188"/>
      <c r="S1" s="188"/>
      <c r="T1" s="188"/>
    </row>
    <row r="2" spans="1:21" ht="6.75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M2" s="1"/>
    </row>
    <row r="3" spans="1:21" ht="39" customHeight="1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M3" s="194"/>
      <c r="N3" s="195"/>
      <c r="O3" s="198" t="s">
        <v>34</v>
      </c>
      <c r="P3" s="199"/>
      <c r="Q3" s="200"/>
      <c r="R3" s="198" t="s">
        <v>35</v>
      </c>
      <c r="S3" s="199"/>
      <c r="T3" s="200"/>
      <c r="U3" s="60"/>
    </row>
    <row r="4" spans="1:21" ht="17.25" customHeight="1">
      <c r="A4" s="190" t="s">
        <v>99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M4" s="196" t="s">
        <v>14</v>
      </c>
      <c r="N4" s="197"/>
      <c r="O4" s="211">
        <f>O41</f>
        <v>20</v>
      </c>
      <c r="P4" s="212"/>
      <c r="Q4" s="213"/>
      <c r="R4" s="211">
        <f>O50</f>
        <v>18</v>
      </c>
      <c r="S4" s="212"/>
      <c r="T4" s="213"/>
      <c r="U4" s="60"/>
    </row>
    <row r="5" spans="1:21" ht="16.5" customHeight="1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M5" s="196" t="s">
        <v>15</v>
      </c>
      <c r="N5" s="197"/>
      <c r="O5" s="211">
        <f>O59</f>
        <v>20</v>
      </c>
      <c r="P5" s="212"/>
      <c r="Q5" s="213"/>
      <c r="R5" s="211">
        <f>O67</f>
        <v>25</v>
      </c>
      <c r="S5" s="212"/>
      <c r="T5" s="213"/>
      <c r="U5" s="60"/>
    </row>
    <row r="6" spans="1:21" ht="15" customHeight="1">
      <c r="A6" s="210" t="s">
        <v>100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M6" s="214"/>
      <c r="N6" s="214"/>
      <c r="O6" s="206"/>
      <c r="P6" s="206"/>
      <c r="Q6" s="206"/>
      <c r="R6" s="206"/>
      <c r="S6" s="206"/>
      <c r="T6" s="206"/>
      <c r="U6" s="61"/>
    </row>
    <row r="7" spans="1:21" ht="18" customHeight="1">
      <c r="A7" s="215" t="s">
        <v>101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M7" s="1"/>
    </row>
    <row r="8" spans="1:21" ht="18.75" customHeight="1">
      <c r="A8" s="193" t="s">
        <v>102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M8" s="208" t="s">
        <v>151</v>
      </c>
      <c r="N8" s="208"/>
      <c r="O8" s="208"/>
      <c r="P8" s="208"/>
      <c r="Q8" s="208"/>
      <c r="R8" s="208"/>
      <c r="S8" s="208"/>
      <c r="T8" s="208"/>
    </row>
    <row r="9" spans="1:21" ht="15" customHeight="1">
      <c r="A9" s="193" t="s">
        <v>68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M9" s="208"/>
      <c r="N9" s="208"/>
      <c r="O9" s="208"/>
      <c r="P9" s="208"/>
      <c r="Q9" s="208"/>
      <c r="R9" s="208"/>
      <c r="S9" s="208"/>
      <c r="T9" s="208"/>
      <c r="U9" s="68"/>
    </row>
    <row r="10" spans="1:21" ht="16.5" customHeight="1">
      <c r="A10" s="193" t="s">
        <v>61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M10" s="208"/>
      <c r="N10" s="208"/>
      <c r="O10" s="208"/>
      <c r="P10" s="208"/>
      <c r="Q10" s="208"/>
      <c r="R10" s="208"/>
      <c r="S10" s="208"/>
      <c r="T10" s="208"/>
      <c r="U10" s="69"/>
    </row>
    <row r="11" spans="1:21" ht="12.75" customHeight="1">
      <c r="A11" s="193" t="s">
        <v>17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M11" s="208"/>
      <c r="N11" s="208"/>
      <c r="O11" s="208"/>
      <c r="P11" s="208"/>
      <c r="Q11" s="208"/>
      <c r="R11" s="208"/>
      <c r="S11" s="208"/>
      <c r="T11" s="208"/>
      <c r="U11" s="69"/>
    </row>
    <row r="12" spans="1:21" ht="10.5" customHeight="1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M12" s="2"/>
      <c r="N12" s="2"/>
      <c r="O12" s="2"/>
      <c r="P12" s="2"/>
      <c r="Q12" s="2"/>
      <c r="R12" s="2"/>
      <c r="U12" s="69"/>
    </row>
    <row r="13" spans="1:21">
      <c r="A13" s="216" t="s">
        <v>66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M13" s="217" t="s">
        <v>20</v>
      </c>
      <c r="N13" s="217"/>
      <c r="O13" s="217"/>
      <c r="P13" s="217"/>
      <c r="Q13" s="217"/>
      <c r="R13" s="217"/>
      <c r="S13" s="217"/>
      <c r="T13" s="217"/>
      <c r="U13" s="70"/>
    </row>
    <row r="14" spans="1:21" ht="12.75" customHeight="1">
      <c r="A14" s="216" t="s">
        <v>62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M14" s="189" t="s">
        <v>152</v>
      </c>
      <c r="N14" s="189"/>
      <c r="O14" s="189"/>
      <c r="P14" s="189"/>
      <c r="Q14" s="189"/>
      <c r="R14" s="189"/>
      <c r="S14" s="189"/>
      <c r="T14" s="189"/>
      <c r="U14" s="70"/>
    </row>
    <row r="15" spans="1:21" ht="12.75" customHeight="1">
      <c r="A15" s="193" t="s">
        <v>149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M15" s="189" t="s">
        <v>153</v>
      </c>
      <c r="N15" s="189"/>
      <c r="O15" s="189"/>
      <c r="P15" s="189"/>
      <c r="Q15" s="189"/>
      <c r="R15" s="189"/>
      <c r="S15" s="189"/>
      <c r="T15" s="189"/>
      <c r="U15" s="71"/>
    </row>
    <row r="16" spans="1:21" ht="12.75" customHeight="1">
      <c r="A16" s="193" t="s">
        <v>150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M16" s="189" t="s">
        <v>154</v>
      </c>
      <c r="N16" s="189"/>
      <c r="O16" s="189"/>
      <c r="P16" s="189"/>
      <c r="Q16" s="189"/>
      <c r="R16" s="189"/>
      <c r="S16" s="189"/>
      <c r="T16" s="189"/>
      <c r="U16" s="71"/>
    </row>
    <row r="17" spans="1:21" ht="12.75" customHeight="1">
      <c r="A17" s="193" t="s">
        <v>1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M17" s="187"/>
      <c r="N17" s="187"/>
      <c r="O17" s="187"/>
      <c r="P17" s="187"/>
      <c r="Q17" s="187"/>
      <c r="R17" s="187"/>
      <c r="S17" s="187"/>
      <c r="T17" s="187"/>
      <c r="U17" s="71"/>
    </row>
    <row r="18" spans="1:21" ht="14.25" customHeight="1">
      <c r="A18" s="193" t="s">
        <v>67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M18" s="187"/>
      <c r="N18" s="187"/>
      <c r="O18" s="187"/>
      <c r="P18" s="187"/>
      <c r="Q18" s="187"/>
      <c r="R18" s="187"/>
      <c r="S18" s="187"/>
      <c r="T18" s="187"/>
      <c r="U18" s="70"/>
    </row>
    <row r="19" spans="1:21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M19" s="187"/>
      <c r="N19" s="187"/>
      <c r="O19" s="187"/>
      <c r="P19" s="187"/>
      <c r="Q19" s="187"/>
      <c r="R19" s="187"/>
      <c r="S19" s="187"/>
      <c r="T19" s="187"/>
      <c r="U19" s="70"/>
    </row>
    <row r="20" spans="1:21" ht="7.5" customHeight="1">
      <c r="A20" s="208" t="s">
        <v>81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M20" s="2"/>
      <c r="N20" s="2"/>
      <c r="O20" s="2"/>
      <c r="P20" s="2"/>
      <c r="Q20" s="2"/>
      <c r="R20" s="2"/>
      <c r="U20" s="72"/>
    </row>
    <row r="21" spans="1:21" ht="15" customHeight="1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M21" s="76" t="s">
        <v>155</v>
      </c>
      <c r="N21" s="76"/>
      <c r="O21" s="76"/>
      <c r="P21" s="76"/>
      <c r="Q21" s="76"/>
      <c r="R21" s="76"/>
      <c r="S21" s="76"/>
      <c r="T21" s="76"/>
      <c r="U21" s="73"/>
    </row>
    <row r="22" spans="1:21" ht="15" customHeight="1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M22" s="76"/>
      <c r="N22" s="76"/>
      <c r="O22" s="76"/>
      <c r="P22" s="76"/>
      <c r="Q22" s="76"/>
      <c r="R22" s="76"/>
      <c r="S22" s="76"/>
      <c r="T22" s="76"/>
      <c r="U22" s="63"/>
    </row>
    <row r="23" spans="1:21" ht="27.75" customHeight="1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M23" s="76"/>
      <c r="N23" s="76"/>
      <c r="O23" s="76"/>
      <c r="P23" s="76"/>
      <c r="Q23" s="76"/>
      <c r="R23" s="76"/>
      <c r="S23" s="76"/>
      <c r="T23" s="76"/>
      <c r="U23" s="63"/>
    </row>
    <row r="24" spans="1:21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1">
      <c r="A25" s="115" t="s">
        <v>16</v>
      </c>
      <c r="B25" s="115"/>
      <c r="C25" s="115"/>
      <c r="D25" s="115"/>
      <c r="E25" s="115"/>
      <c r="F25" s="115"/>
      <c r="G25" s="115"/>
      <c r="M25" s="207" t="s">
        <v>103</v>
      </c>
      <c r="N25" s="207"/>
      <c r="O25" s="207"/>
      <c r="P25" s="207"/>
      <c r="Q25" s="207"/>
      <c r="R25" s="207"/>
      <c r="S25" s="207"/>
      <c r="T25" s="207"/>
    </row>
    <row r="26" spans="1:21" ht="26.25" customHeight="1">
      <c r="A26" s="4"/>
      <c r="B26" s="198" t="s">
        <v>2</v>
      </c>
      <c r="C26" s="200"/>
      <c r="D26" s="198" t="s">
        <v>3</v>
      </c>
      <c r="E26" s="199"/>
      <c r="F26" s="200"/>
      <c r="G26" s="205" t="s">
        <v>18</v>
      </c>
      <c r="H26" s="205" t="s">
        <v>10</v>
      </c>
      <c r="I26" s="198" t="s">
        <v>4</v>
      </c>
      <c r="J26" s="199"/>
      <c r="K26" s="200"/>
      <c r="M26" s="207"/>
      <c r="N26" s="207"/>
      <c r="O26" s="207"/>
      <c r="P26" s="207"/>
      <c r="Q26" s="207"/>
      <c r="R26" s="207"/>
      <c r="S26" s="207"/>
      <c r="T26" s="207"/>
    </row>
    <row r="27" spans="1:21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04"/>
      <c r="H27" s="204"/>
      <c r="I27" s="5" t="s">
        <v>11</v>
      </c>
      <c r="J27" s="5" t="s">
        <v>12</v>
      </c>
      <c r="K27" s="5" t="s">
        <v>13</v>
      </c>
      <c r="M27" s="207"/>
      <c r="N27" s="207"/>
      <c r="O27" s="207"/>
      <c r="P27" s="207"/>
      <c r="Q27" s="207"/>
      <c r="R27" s="207"/>
      <c r="S27" s="207"/>
      <c r="T27" s="207"/>
    </row>
    <row r="28" spans="1:21" ht="17.25" customHeight="1">
      <c r="A28" s="6" t="s">
        <v>14</v>
      </c>
      <c r="B28" s="7">
        <v>14</v>
      </c>
      <c r="C28" s="7">
        <v>14</v>
      </c>
      <c r="D28" s="66">
        <v>3</v>
      </c>
      <c r="E28" s="66">
        <v>3</v>
      </c>
      <c r="F28" s="66">
        <v>2</v>
      </c>
      <c r="G28" s="66"/>
      <c r="H28" s="67"/>
      <c r="I28" s="66">
        <v>3</v>
      </c>
      <c r="J28" s="66">
        <v>1</v>
      </c>
      <c r="K28" s="66">
        <v>12</v>
      </c>
      <c r="M28" s="207"/>
      <c r="N28" s="207"/>
      <c r="O28" s="207"/>
      <c r="P28" s="207"/>
      <c r="Q28" s="207"/>
      <c r="R28" s="207"/>
      <c r="S28" s="207"/>
      <c r="T28" s="207"/>
      <c r="U28" s="62"/>
    </row>
    <row r="29" spans="1:21" ht="15" customHeight="1">
      <c r="A29" s="6" t="s">
        <v>15</v>
      </c>
      <c r="B29" s="7">
        <v>14</v>
      </c>
      <c r="C29" s="7">
        <v>12</v>
      </c>
      <c r="D29" s="66">
        <v>3</v>
      </c>
      <c r="E29" s="66">
        <v>3</v>
      </c>
      <c r="F29" s="66">
        <v>2</v>
      </c>
      <c r="G29" s="66">
        <v>2</v>
      </c>
      <c r="H29" s="66"/>
      <c r="I29" s="66">
        <v>3</v>
      </c>
      <c r="J29" s="66">
        <v>1</v>
      </c>
      <c r="K29" s="66">
        <v>12</v>
      </c>
      <c r="M29" s="207"/>
      <c r="N29" s="207"/>
      <c r="O29" s="207"/>
      <c r="P29" s="207"/>
      <c r="Q29" s="207"/>
      <c r="R29" s="207"/>
      <c r="S29" s="207"/>
      <c r="T29" s="207"/>
      <c r="U29" s="62"/>
    </row>
    <row r="30" spans="1:21" ht="15.75" customHeight="1">
      <c r="A30" s="35"/>
      <c r="B30" s="33"/>
      <c r="C30" s="33"/>
      <c r="D30" s="33"/>
      <c r="E30" s="33"/>
      <c r="F30" s="33"/>
      <c r="G30" s="33"/>
      <c r="H30" s="33"/>
      <c r="I30" s="33"/>
      <c r="J30" s="33"/>
      <c r="K30" s="36"/>
      <c r="M30" s="207"/>
      <c r="N30" s="207"/>
      <c r="O30" s="207"/>
      <c r="P30" s="207"/>
      <c r="Q30" s="207"/>
      <c r="R30" s="207"/>
      <c r="S30" s="207"/>
      <c r="T30" s="207"/>
      <c r="U30" s="62"/>
    </row>
    <row r="31" spans="1:21" ht="21" customHeight="1">
      <c r="A31" s="34"/>
      <c r="B31" s="34"/>
      <c r="C31" s="34"/>
      <c r="D31" s="34"/>
      <c r="E31" s="34"/>
      <c r="F31" s="34"/>
      <c r="G31" s="34"/>
      <c r="M31" s="207"/>
      <c r="N31" s="207"/>
      <c r="O31" s="207"/>
      <c r="P31" s="207"/>
      <c r="Q31" s="207"/>
      <c r="R31" s="207"/>
      <c r="S31" s="207"/>
      <c r="T31" s="207"/>
      <c r="U31" s="62"/>
    </row>
    <row r="32" spans="1:21" ht="24.75" customHeight="1">
      <c r="A32" s="191" t="s">
        <v>21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</row>
    <row r="33" spans="1:21" ht="8.25" hidden="1" customHeight="1">
      <c r="O33" s="9"/>
      <c r="P33" s="10" t="s">
        <v>36</v>
      </c>
      <c r="Q33" s="10" t="s">
        <v>37</v>
      </c>
      <c r="R33" s="10" t="s">
        <v>38</v>
      </c>
      <c r="S33" s="10" t="s">
        <v>39</v>
      </c>
      <c r="T33" s="10" t="s">
        <v>50</v>
      </c>
      <c r="U33" s="10"/>
    </row>
    <row r="34" spans="1:21" ht="17.25" customHeight="1">
      <c r="A34" s="104" t="s">
        <v>42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</row>
    <row r="35" spans="1:21" ht="25.5" customHeight="1">
      <c r="A35" s="182" t="s">
        <v>27</v>
      </c>
      <c r="B35" s="176" t="s">
        <v>26</v>
      </c>
      <c r="C35" s="177"/>
      <c r="D35" s="177"/>
      <c r="E35" s="177"/>
      <c r="F35" s="177"/>
      <c r="G35" s="177"/>
      <c r="H35" s="177"/>
      <c r="I35" s="178"/>
      <c r="J35" s="205" t="s">
        <v>40</v>
      </c>
      <c r="K35" s="184" t="s">
        <v>24</v>
      </c>
      <c r="L35" s="185"/>
      <c r="M35" s="185"/>
      <c r="N35" s="186"/>
      <c r="O35" s="184" t="s">
        <v>41</v>
      </c>
      <c r="P35" s="201"/>
      <c r="Q35" s="202"/>
      <c r="R35" s="184" t="s">
        <v>23</v>
      </c>
      <c r="S35" s="185"/>
      <c r="T35" s="186"/>
      <c r="U35" s="203" t="s">
        <v>22</v>
      </c>
    </row>
    <row r="36" spans="1:21" ht="13.5" customHeight="1">
      <c r="A36" s="183"/>
      <c r="B36" s="179"/>
      <c r="C36" s="163"/>
      <c r="D36" s="163"/>
      <c r="E36" s="163"/>
      <c r="F36" s="163"/>
      <c r="G36" s="163"/>
      <c r="H36" s="163"/>
      <c r="I36" s="180"/>
      <c r="J36" s="204"/>
      <c r="K36" s="5" t="s">
        <v>28</v>
      </c>
      <c r="L36" s="5" t="s">
        <v>29</v>
      </c>
      <c r="M36" s="51" t="s">
        <v>97</v>
      </c>
      <c r="N36" s="5" t="s">
        <v>98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204"/>
    </row>
    <row r="37" spans="1:21">
      <c r="A37" s="56" t="s">
        <v>104</v>
      </c>
      <c r="B37" s="138" t="s">
        <v>105</v>
      </c>
      <c r="C37" s="139"/>
      <c r="D37" s="139"/>
      <c r="E37" s="139"/>
      <c r="F37" s="139"/>
      <c r="G37" s="139"/>
      <c r="H37" s="139"/>
      <c r="I37" s="140"/>
      <c r="J37" s="18">
        <v>8</v>
      </c>
      <c r="K37" s="18">
        <v>2</v>
      </c>
      <c r="L37" s="18">
        <v>1</v>
      </c>
      <c r="M37" s="18">
        <v>0</v>
      </c>
      <c r="N37" s="18">
        <v>2</v>
      </c>
      <c r="O37" s="19">
        <f>K37+L37+M37+N37</f>
        <v>5</v>
      </c>
      <c r="P37" s="20">
        <f>Q37-O37</f>
        <v>9</v>
      </c>
      <c r="Q37" s="20">
        <f>ROUND(PRODUCT(J37,25)/14,0)</f>
        <v>14</v>
      </c>
      <c r="R37" s="25" t="s">
        <v>31</v>
      </c>
      <c r="S37" s="11"/>
      <c r="T37" s="26"/>
      <c r="U37" s="11" t="s">
        <v>38</v>
      </c>
    </row>
    <row r="38" spans="1:21">
      <c r="A38" s="56" t="s">
        <v>106</v>
      </c>
      <c r="B38" s="138" t="s">
        <v>107</v>
      </c>
      <c r="C38" s="139"/>
      <c r="D38" s="139"/>
      <c r="E38" s="139"/>
      <c r="F38" s="139"/>
      <c r="G38" s="139"/>
      <c r="H38" s="139"/>
      <c r="I38" s="140"/>
      <c r="J38" s="18">
        <v>8</v>
      </c>
      <c r="K38" s="18">
        <v>2</v>
      </c>
      <c r="L38" s="18">
        <v>1</v>
      </c>
      <c r="M38" s="18">
        <v>0</v>
      </c>
      <c r="N38" s="18">
        <v>2</v>
      </c>
      <c r="O38" s="55">
        <f t="shared" ref="O38:O40" si="0">K38+L38+M38+N38</f>
        <v>5</v>
      </c>
      <c r="P38" s="20">
        <f t="shared" ref="P38:P40" si="1">Q38-O38</f>
        <v>9</v>
      </c>
      <c r="Q38" s="20">
        <f t="shared" ref="Q38:Q40" si="2">ROUND(PRODUCT(J38,25)/14,0)</f>
        <v>14</v>
      </c>
      <c r="R38" s="25" t="s">
        <v>31</v>
      </c>
      <c r="S38" s="11"/>
      <c r="T38" s="26"/>
      <c r="U38" s="11" t="s">
        <v>38</v>
      </c>
    </row>
    <row r="39" spans="1:21">
      <c r="A39" s="56" t="s">
        <v>108</v>
      </c>
      <c r="B39" s="138" t="s">
        <v>109</v>
      </c>
      <c r="C39" s="139"/>
      <c r="D39" s="139"/>
      <c r="E39" s="139"/>
      <c r="F39" s="139"/>
      <c r="G39" s="139"/>
      <c r="H39" s="139"/>
      <c r="I39" s="140"/>
      <c r="J39" s="18">
        <v>7</v>
      </c>
      <c r="K39" s="18">
        <v>2</v>
      </c>
      <c r="L39" s="18">
        <v>1</v>
      </c>
      <c r="M39" s="18">
        <v>0</v>
      </c>
      <c r="N39" s="18">
        <v>2</v>
      </c>
      <c r="O39" s="55">
        <f t="shared" si="0"/>
        <v>5</v>
      </c>
      <c r="P39" s="20">
        <f t="shared" si="1"/>
        <v>8</v>
      </c>
      <c r="Q39" s="20">
        <f t="shared" si="2"/>
        <v>13</v>
      </c>
      <c r="R39" s="25" t="s">
        <v>31</v>
      </c>
      <c r="S39" s="11"/>
      <c r="T39" s="26"/>
      <c r="U39" s="11" t="s">
        <v>36</v>
      </c>
    </row>
    <row r="40" spans="1:21">
      <c r="A40" s="56" t="s">
        <v>110</v>
      </c>
      <c r="B40" s="138" t="s">
        <v>111</v>
      </c>
      <c r="C40" s="139"/>
      <c r="D40" s="139"/>
      <c r="E40" s="139"/>
      <c r="F40" s="139"/>
      <c r="G40" s="139"/>
      <c r="H40" s="139"/>
      <c r="I40" s="140"/>
      <c r="J40" s="18">
        <v>7</v>
      </c>
      <c r="K40" s="18">
        <v>2</v>
      </c>
      <c r="L40" s="18">
        <v>1</v>
      </c>
      <c r="M40" s="18">
        <v>0</v>
      </c>
      <c r="N40" s="18">
        <v>2</v>
      </c>
      <c r="O40" s="55">
        <f t="shared" si="0"/>
        <v>5</v>
      </c>
      <c r="P40" s="20">
        <f t="shared" si="1"/>
        <v>8</v>
      </c>
      <c r="Q40" s="20">
        <f t="shared" si="2"/>
        <v>13</v>
      </c>
      <c r="R40" s="25" t="s">
        <v>31</v>
      </c>
      <c r="S40" s="11"/>
      <c r="T40" s="26"/>
      <c r="U40" s="11" t="s">
        <v>36</v>
      </c>
    </row>
    <row r="41" spans="1:21">
      <c r="A41" s="22" t="s">
        <v>25</v>
      </c>
      <c r="B41" s="117"/>
      <c r="C41" s="118"/>
      <c r="D41" s="118"/>
      <c r="E41" s="118"/>
      <c r="F41" s="118"/>
      <c r="G41" s="118"/>
      <c r="H41" s="118"/>
      <c r="I41" s="119"/>
      <c r="J41" s="22">
        <f t="shared" ref="J41:Q41" si="3">SUM(J37:J40)</f>
        <v>30</v>
      </c>
      <c r="K41" s="22">
        <f t="shared" si="3"/>
        <v>8</v>
      </c>
      <c r="L41" s="22">
        <f t="shared" si="3"/>
        <v>4</v>
      </c>
      <c r="M41" s="53">
        <f t="shared" si="3"/>
        <v>0</v>
      </c>
      <c r="N41" s="22">
        <f t="shared" si="3"/>
        <v>8</v>
      </c>
      <c r="O41" s="22">
        <f t="shared" si="3"/>
        <v>20</v>
      </c>
      <c r="P41" s="22">
        <f t="shared" si="3"/>
        <v>34</v>
      </c>
      <c r="Q41" s="22">
        <f t="shared" si="3"/>
        <v>54</v>
      </c>
      <c r="R41" s="22">
        <f>COUNTIF(R37:R40,"E")</f>
        <v>4</v>
      </c>
      <c r="S41" s="22">
        <f>COUNTIF(S37:S40,"C")</f>
        <v>0</v>
      </c>
      <c r="T41" s="22">
        <f>COUNTIF(T37:T40,"VP")</f>
        <v>0</v>
      </c>
      <c r="U41" s="50">
        <f>COUNTA(U37:U40)</f>
        <v>4</v>
      </c>
    </row>
    <row r="42" spans="1:21" ht="30" customHeight="1"/>
    <row r="43" spans="1:21" ht="16.5" customHeight="1">
      <c r="A43" s="104" t="s">
        <v>43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  <row r="44" spans="1:21" ht="26.25" customHeight="1">
      <c r="A44" s="182" t="s">
        <v>27</v>
      </c>
      <c r="B44" s="176" t="s">
        <v>26</v>
      </c>
      <c r="C44" s="177"/>
      <c r="D44" s="177"/>
      <c r="E44" s="177"/>
      <c r="F44" s="177"/>
      <c r="G44" s="177"/>
      <c r="H44" s="177"/>
      <c r="I44" s="178"/>
      <c r="J44" s="205" t="s">
        <v>40</v>
      </c>
      <c r="K44" s="184" t="s">
        <v>24</v>
      </c>
      <c r="L44" s="185"/>
      <c r="M44" s="185"/>
      <c r="N44" s="186"/>
      <c r="O44" s="184" t="s">
        <v>41</v>
      </c>
      <c r="P44" s="201"/>
      <c r="Q44" s="202"/>
      <c r="R44" s="184" t="s">
        <v>23</v>
      </c>
      <c r="S44" s="185"/>
      <c r="T44" s="186"/>
      <c r="U44" s="203" t="s">
        <v>22</v>
      </c>
    </row>
    <row r="45" spans="1:21" ht="12.75" customHeight="1">
      <c r="A45" s="183"/>
      <c r="B45" s="179"/>
      <c r="C45" s="163"/>
      <c r="D45" s="163"/>
      <c r="E45" s="163"/>
      <c r="F45" s="163"/>
      <c r="G45" s="163"/>
      <c r="H45" s="163"/>
      <c r="I45" s="180"/>
      <c r="J45" s="204"/>
      <c r="K45" s="5" t="s">
        <v>28</v>
      </c>
      <c r="L45" s="5" t="s">
        <v>29</v>
      </c>
      <c r="M45" s="51" t="s">
        <v>97</v>
      </c>
      <c r="N45" s="5" t="s">
        <v>98</v>
      </c>
      <c r="O45" s="5" t="s">
        <v>33</v>
      </c>
      <c r="P45" s="5" t="s">
        <v>7</v>
      </c>
      <c r="Q45" s="5" t="s">
        <v>30</v>
      </c>
      <c r="R45" s="5" t="s">
        <v>31</v>
      </c>
      <c r="S45" s="5" t="s">
        <v>28</v>
      </c>
      <c r="T45" s="5" t="s">
        <v>32</v>
      </c>
      <c r="U45" s="204"/>
    </row>
    <row r="46" spans="1:21" ht="33" customHeight="1">
      <c r="A46" s="56" t="s">
        <v>112</v>
      </c>
      <c r="B46" s="168" t="s">
        <v>113</v>
      </c>
      <c r="C46" s="169"/>
      <c r="D46" s="169"/>
      <c r="E46" s="169"/>
      <c r="F46" s="169"/>
      <c r="G46" s="169"/>
      <c r="H46" s="169"/>
      <c r="I46" s="170"/>
      <c r="J46" s="18">
        <v>8</v>
      </c>
      <c r="K46" s="18">
        <v>2</v>
      </c>
      <c r="L46" s="18">
        <v>1</v>
      </c>
      <c r="M46" s="18">
        <v>0</v>
      </c>
      <c r="N46" s="18">
        <v>2</v>
      </c>
      <c r="O46" s="55">
        <f t="shared" ref="O46:O49" si="4">K46+L46+M46+N46</f>
        <v>5</v>
      </c>
      <c r="P46" s="20">
        <f>Q46-O46</f>
        <v>9</v>
      </c>
      <c r="Q46" s="20">
        <f>ROUND(PRODUCT(J46,25)/14,0)</f>
        <v>14</v>
      </c>
      <c r="R46" s="25" t="s">
        <v>31</v>
      </c>
      <c r="S46" s="11"/>
      <c r="T46" s="26"/>
      <c r="U46" s="11" t="s">
        <v>38</v>
      </c>
    </row>
    <row r="47" spans="1:21">
      <c r="A47" s="56" t="s">
        <v>114</v>
      </c>
      <c r="B47" s="138" t="s">
        <v>115</v>
      </c>
      <c r="C47" s="139"/>
      <c r="D47" s="139"/>
      <c r="E47" s="139"/>
      <c r="F47" s="139"/>
      <c r="G47" s="139"/>
      <c r="H47" s="139"/>
      <c r="I47" s="140"/>
      <c r="J47" s="18">
        <v>8</v>
      </c>
      <c r="K47" s="18">
        <v>2</v>
      </c>
      <c r="L47" s="18">
        <v>1</v>
      </c>
      <c r="M47" s="18">
        <v>0</v>
      </c>
      <c r="N47" s="18">
        <v>2</v>
      </c>
      <c r="O47" s="55">
        <f t="shared" si="4"/>
        <v>5</v>
      </c>
      <c r="P47" s="20">
        <f t="shared" ref="P47:P49" si="5">Q47-O47</f>
        <v>9</v>
      </c>
      <c r="Q47" s="20">
        <f t="shared" ref="Q47:Q49" si="6">ROUND(PRODUCT(J47,25)/14,0)</f>
        <v>14</v>
      </c>
      <c r="R47" s="25" t="s">
        <v>31</v>
      </c>
      <c r="S47" s="11"/>
      <c r="T47" s="26"/>
      <c r="U47" s="11" t="s">
        <v>36</v>
      </c>
    </row>
    <row r="48" spans="1:21">
      <c r="A48" s="56" t="s">
        <v>116</v>
      </c>
      <c r="B48" s="138" t="s">
        <v>117</v>
      </c>
      <c r="C48" s="139"/>
      <c r="D48" s="139"/>
      <c r="E48" s="139"/>
      <c r="F48" s="139"/>
      <c r="G48" s="139"/>
      <c r="H48" s="139"/>
      <c r="I48" s="140"/>
      <c r="J48" s="18">
        <v>8</v>
      </c>
      <c r="K48" s="18">
        <v>2</v>
      </c>
      <c r="L48" s="18">
        <v>1</v>
      </c>
      <c r="M48" s="18">
        <v>0</v>
      </c>
      <c r="N48" s="18">
        <v>2</v>
      </c>
      <c r="O48" s="55">
        <f t="shared" si="4"/>
        <v>5</v>
      </c>
      <c r="P48" s="20">
        <f t="shared" si="5"/>
        <v>9</v>
      </c>
      <c r="Q48" s="20">
        <f t="shared" si="6"/>
        <v>14</v>
      </c>
      <c r="R48" s="25" t="s">
        <v>31</v>
      </c>
      <c r="S48" s="11"/>
      <c r="T48" s="26"/>
      <c r="U48" s="11" t="s">
        <v>36</v>
      </c>
    </row>
    <row r="49" spans="1:21">
      <c r="A49" s="56" t="s">
        <v>118</v>
      </c>
      <c r="B49" s="138" t="s">
        <v>119</v>
      </c>
      <c r="C49" s="139"/>
      <c r="D49" s="139"/>
      <c r="E49" s="139"/>
      <c r="F49" s="139"/>
      <c r="G49" s="139"/>
      <c r="H49" s="139"/>
      <c r="I49" s="140"/>
      <c r="J49" s="18">
        <v>6</v>
      </c>
      <c r="K49" s="18">
        <v>2</v>
      </c>
      <c r="L49" s="18">
        <v>1</v>
      </c>
      <c r="M49" s="18">
        <v>0</v>
      </c>
      <c r="N49" s="18">
        <v>0</v>
      </c>
      <c r="O49" s="55">
        <f t="shared" si="4"/>
        <v>3</v>
      </c>
      <c r="P49" s="20">
        <f t="shared" si="5"/>
        <v>8</v>
      </c>
      <c r="Q49" s="20">
        <f t="shared" si="6"/>
        <v>11</v>
      </c>
      <c r="R49" s="25"/>
      <c r="S49" s="11" t="s">
        <v>28</v>
      </c>
      <c r="T49" s="26"/>
      <c r="U49" s="11" t="s">
        <v>36</v>
      </c>
    </row>
    <row r="50" spans="1:21">
      <c r="A50" s="22" t="s">
        <v>25</v>
      </c>
      <c r="B50" s="117"/>
      <c r="C50" s="118"/>
      <c r="D50" s="118"/>
      <c r="E50" s="118"/>
      <c r="F50" s="118"/>
      <c r="G50" s="118"/>
      <c r="H50" s="118"/>
      <c r="I50" s="119"/>
      <c r="J50" s="22">
        <f t="shared" ref="J50:Q50" si="7">SUM(J46:J49)</f>
        <v>30</v>
      </c>
      <c r="K50" s="22">
        <f t="shared" si="7"/>
        <v>8</v>
      </c>
      <c r="L50" s="22">
        <f t="shared" si="7"/>
        <v>4</v>
      </c>
      <c r="M50" s="53">
        <f t="shared" si="7"/>
        <v>0</v>
      </c>
      <c r="N50" s="22">
        <f t="shared" si="7"/>
        <v>6</v>
      </c>
      <c r="O50" s="22">
        <f t="shared" si="7"/>
        <v>18</v>
      </c>
      <c r="P50" s="22">
        <f t="shared" si="7"/>
        <v>35</v>
      </c>
      <c r="Q50" s="22">
        <f t="shared" si="7"/>
        <v>53</v>
      </c>
      <c r="R50" s="22">
        <f>COUNTIF(R46:R49,"E")</f>
        <v>3</v>
      </c>
      <c r="S50" s="22">
        <f>COUNTIF(S46:S49,"C")</f>
        <v>1</v>
      </c>
      <c r="T50" s="22">
        <f>COUNTIF(T46:T49,"VP")</f>
        <v>0</v>
      </c>
      <c r="U50" s="50">
        <f>COUNTA(U46:U49)</f>
        <v>4</v>
      </c>
    </row>
    <row r="51" spans="1:21" ht="30" customHeight="1"/>
    <row r="52" spans="1:21" ht="18" customHeight="1">
      <c r="A52" s="104" t="s">
        <v>44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</row>
    <row r="53" spans="1:21" ht="25.5" customHeight="1">
      <c r="A53" s="182" t="s">
        <v>27</v>
      </c>
      <c r="B53" s="176" t="s">
        <v>26</v>
      </c>
      <c r="C53" s="177"/>
      <c r="D53" s="177"/>
      <c r="E53" s="177"/>
      <c r="F53" s="177"/>
      <c r="G53" s="177"/>
      <c r="H53" s="177"/>
      <c r="I53" s="178"/>
      <c r="J53" s="205" t="s">
        <v>40</v>
      </c>
      <c r="K53" s="184" t="s">
        <v>24</v>
      </c>
      <c r="L53" s="185"/>
      <c r="M53" s="185"/>
      <c r="N53" s="186"/>
      <c r="O53" s="184" t="s">
        <v>41</v>
      </c>
      <c r="P53" s="201"/>
      <c r="Q53" s="202"/>
      <c r="R53" s="184" t="s">
        <v>23</v>
      </c>
      <c r="S53" s="185"/>
      <c r="T53" s="186"/>
      <c r="U53" s="203" t="s">
        <v>22</v>
      </c>
    </row>
    <row r="54" spans="1:21" ht="16.5" customHeight="1">
      <c r="A54" s="183"/>
      <c r="B54" s="179"/>
      <c r="C54" s="163"/>
      <c r="D54" s="163"/>
      <c r="E54" s="163"/>
      <c r="F54" s="163"/>
      <c r="G54" s="163"/>
      <c r="H54" s="163"/>
      <c r="I54" s="180"/>
      <c r="J54" s="204"/>
      <c r="K54" s="5" t="s">
        <v>28</v>
      </c>
      <c r="L54" s="5" t="s">
        <v>29</v>
      </c>
      <c r="M54" s="51" t="s">
        <v>97</v>
      </c>
      <c r="N54" s="5" t="s">
        <v>98</v>
      </c>
      <c r="O54" s="5" t="s">
        <v>33</v>
      </c>
      <c r="P54" s="5" t="s">
        <v>7</v>
      </c>
      <c r="Q54" s="5" t="s">
        <v>30</v>
      </c>
      <c r="R54" s="5" t="s">
        <v>31</v>
      </c>
      <c r="S54" s="5" t="s">
        <v>28</v>
      </c>
      <c r="T54" s="5" t="s">
        <v>32</v>
      </c>
      <c r="U54" s="204"/>
    </row>
    <row r="55" spans="1:21">
      <c r="A55" s="56" t="s">
        <v>120</v>
      </c>
      <c r="B55" s="138" t="s">
        <v>121</v>
      </c>
      <c r="C55" s="139"/>
      <c r="D55" s="139"/>
      <c r="E55" s="139"/>
      <c r="F55" s="139"/>
      <c r="G55" s="139"/>
      <c r="H55" s="139"/>
      <c r="I55" s="140"/>
      <c r="J55" s="18">
        <v>8</v>
      </c>
      <c r="K55" s="18">
        <v>2</v>
      </c>
      <c r="L55" s="18">
        <v>1</v>
      </c>
      <c r="M55" s="18">
        <v>0</v>
      </c>
      <c r="N55" s="18">
        <v>2</v>
      </c>
      <c r="O55" s="55">
        <f t="shared" ref="O55:O58" si="8">K55+L55+M55+N55</f>
        <v>5</v>
      </c>
      <c r="P55" s="20">
        <f>Q55-O55</f>
        <v>9</v>
      </c>
      <c r="Q55" s="20">
        <f>ROUND(PRODUCT(J55,25)/14,0)</f>
        <v>14</v>
      </c>
      <c r="R55" s="25" t="s">
        <v>31</v>
      </c>
      <c r="S55" s="11"/>
      <c r="T55" s="26"/>
      <c r="U55" s="11" t="s">
        <v>38</v>
      </c>
    </row>
    <row r="56" spans="1:21">
      <c r="A56" s="56" t="s">
        <v>122</v>
      </c>
      <c r="B56" s="138" t="s">
        <v>123</v>
      </c>
      <c r="C56" s="139"/>
      <c r="D56" s="139"/>
      <c r="E56" s="139"/>
      <c r="F56" s="139"/>
      <c r="G56" s="139"/>
      <c r="H56" s="139"/>
      <c r="I56" s="140"/>
      <c r="J56" s="18">
        <v>8</v>
      </c>
      <c r="K56" s="18">
        <v>2</v>
      </c>
      <c r="L56" s="18">
        <v>1</v>
      </c>
      <c r="M56" s="18">
        <v>0</v>
      </c>
      <c r="N56" s="18">
        <v>2</v>
      </c>
      <c r="O56" s="55">
        <f t="shared" si="8"/>
        <v>5</v>
      </c>
      <c r="P56" s="20">
        <f t="shared" ref="P56:P58" si="9">Q56-O56</f>
        <v>9</v>
      </c>
      <c r="Q56" s="20">
        <f t="shared" ref="Q56:Q58" si="10">ROUND(PRODUCT(J56,25)/14,0)</f>
        <v>14</v>
      </c>
      <c r="R56" s="25" t="s">
        <v>31</v>
      </c>
      <c r="S56" s="11"/>
      <c r="T56" s="26"/>
      <c r="U56" s="11" t="s">
        <v>38</v>
      </c>
    </row>
    <row r="57" spans="1:21">
      <c r="A57" s="56" t="s">
        <v>124</v>
      </c>
      <c r="B57" s="138" t="s">
        <v>125</v>
      </c>
      <c r="C57" s="139"/>
      <c r="D57" s="139"/>
      <c r="E57" s="139"/>
      <c r="F57" s="139"/>
      <c r="G57" s="139"/>
      <c r="H57" s="139"/>
      <c r="I57" s="140"/>
      <c r="J57" s="18">
        <v>7</v>
      </c>
      <c r="K57" s="18">
        <v>2</v>
      </c>
      <c r="L57" s="18">
        <v>1</v>
      </c>
      <c r="M57" s="18">
        <v>0</v>
      </c>
      <c r="N57" s="18">
        <v>2</v>
      </c>
      <c r="O57" s="55">
        <f t="shared" si="8"/>
        <v>5</v>
      </c>
      <c r="P57" s="20">
        <f t="shared" si="9"/>
        <v>8</v>
      </c>
      <c r="Q57" s="20">
        <f t="shared" si="10"/>
        <v>13</v>
      </c>
      <c r="R57" s="25" t="s">
        <v>31</v>
      </c>
      <c r="S57" s="11"/>
      <c r="T57" s="26"/>
      <c r="U57" s="11" t="s">
        <v>36</v>
      </c>
    </row>
    <row r="58" spans="1:21">
      <c r="A58" s="56" t="s">
        <v>126</v>
      </c>
      <c r="B58" s="138" t="s">
        <v>127</v>
      </c>
      <c r="C58" s="139"/>
      <c r="D58" s="139"/>
      <c r="E58" s="139"/>
      <c r="F58" s="139"/>
      <c r="G58" s="139"/>
      <c r="H58" s="139"/>
      <c r="I58" s="140"/>
      <c r="J58" s="18">
        <v>7</v>
      </c>
      <c r="K58" s="18">
        <v>2</v>
      </c>
      <c r="L58" s="18">
        <v>1</v>
      </c>
      <c r="M58" s="18">
        <v>0</v>
      </c>
      <c r="N58" s="18">
        <v>2</v>
      </c>
      <c r="O58" s="55">
        <f t="shared" si="8"/>
        <v>5</v>
      </c>
      <c r="P58" s="20">
        <f t="shared" si="9"/>
        <v>8</v>
      </c>
      <c r="Q58" s="20">
        <f t="shared" si="10"/>
        <v>13</v>
      </c>
      <c r="R58" s="25" t="s">
        <v>31</v>
      </c>
      <c r="S58" s="11"/>
      <c r="T58" s="26"/>
      <c r="U58" s="11" t="s">
        <v>38</v>
      </c>
    </row>
    <row r="59" spans="1:21">
      <c r="A59" s="22" t="s">
        <v>25</v>
      </c>
      <c r="B59" s="117"/>
      <c r="C59" s="118"/>
      <c r="D59" s="118"/>
      <c r="E59" s="118"/>
      <c r="F59" s="118"/>
      <c r="G59" s="118"/>
      <c r="H59" s="118"/>
      <c r="I59" s="119"/>
      <c r="J59" s="22">
        <f t="shared" ref="J59:Q59" si="11">SUM(J55:J58)</f>
        <v>30</v>
      </c>
      <c r="K59" s="22">
        <f t="shared" si="11"/>
        <v>8</v>
      </c>
      <c r="L59" s="22">
        <f t="shared" si="11"/>
        <v>4</v>
      </c>
      <c r="M59" s="53">
        <f t="shared" si="11"/>
        <v>0</v>
      </c>
      <c r="N59" s="22">
        <f t="shared" si="11"/>
        <v>8</v>
      </c>
      <c r="O59" s="22">
        <f t="shared" si="11"/>
        <v>20</v>
      </c>
      <c r="P59" s="22">
        <f t="shared" si="11"/>
        <v>34</v>
      </c>
      <c r="Q59" s="22">
        <f t="shared" si="11"/>
        <v>54</v>
      </c>
      <c r="R59" s="22">
        <f>COUNTIF(R55:R58,"E")</f>
        <v>4</v>
      </c>
      <c r="S59" s="22">
        <f>COUNTIF(S55:S58,"C")</f>
        <v>0</v>
      </c>
      <c r="T59" s="22">
        <f>COUNTIF(T55:T58,"VP")</f>
        <v>0</v>
      </c>
      <c r="U59" s="50">
        <f>COUNTA(U55:U58)</f>
        <v>4</v>
      </c>
    </row>
    <row r="60" spans="1:21" ht="26.25" customHeight="1"/>
    <row r="61" spans="1:21" ht="18.75" customHeight="1">
      <c r="A61" s="104" t="s">
        <v>45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</row>
    <row r="62" spans="1:21" ht="24.75" customHeight="1">
      <c r="A62" s="182" t="s">
        <v>27</v>
      </c>
      <c r="B62" s="176" t="s">
        <v>26</v>
      </c>
      <c r="C62" s="177"/>
      <c r="D62" s="177"/>
      <c r="E62" s="177"/>
      <c r="F62" s="177"/>
      <c r="G62" s="177"/>
      <c r="H62" s="177"/>
      <c r="I62" s="178"/>
      <c r="J62" s="205" t="s">
        <v>40</v>
      </c>
      <c r="K62" s="184" t="s">
        <v>24</v>
      </c>
      <c r="L62" s="185"/>
      <c r="M62" s="185"/>
      <c r="N62" s="186"/>
      <c r="O62" s="184" t="s">
        <v>41</v>
      </c>
      <c r="P62" s="201"/>
      <c r="Q62" s="202"/>
      <c r="R62" s="184" t="s">
        <v>23</v>
      </c>
      <c r="S62" s="185"/>
      <c r="T62" s="186"/>
      <c r="U62" s="203" t="s">
        <v>22</v>
      </c>
    </row>
    <row r="63" spans="1:21">
      <c r="A63" s="183"/>
      <c r="B63" s="179"/>
      <c r="C63" s="163"/>
      <c r="D63" s="163"/>
      <c r="E63" s="163"/>
      <c r="F63" s="163"/>
      <c r="G63" s="163"/>
      <c r="H63" s="163"/>
      <c r="I63" s="180"/>
      <c r="J63" s="204"/>
      <c r="K63" s="5" t="s">
        <v>28</v>
      </c>
      <c r="L63" s="5" t="s">
        <v>29</v>
      </c>
      <c r="M63" s="51" t="s">
        <v>97</v>
      </c>
      <c r="N63" s="5" t="s">
        <v>98</v>
      </c>
      <c r="O63" s="5" t="s">
        <v>33</v>
      </c>
      <c r="P63" s="5" t="s">
        <v>7</v>
      </c>
      <c r="Q63" s="5" t="s">
        <v>30</v>
      </c>
      <c r="R63" s="5" t="s">
        <v>31</v>
      </c>
      <c r="S63" s="5" t="s">
        <v>28</v>
      </c>
      <c r="T63" s="5" t="s">
        <v>32</v>
      </c>
      <c r="U63" s="204"/>
    </row>
    <row r="64" spans="1:21">
      <c r="A64" s="65" t="s">
        <v>144</v>
      </c>
      <c r="B64" s="138" t="s">
        <v>145</v>
      </c>
      <c r="C64" s="139"/>
      <c r="D64" s="139"/>
      <c r="E64" s="139"/>
      <c r="F64" s="139"/>
      <c r="G64" s="139"/>
      <c r="H64" s="139"/>
      <c r="I64" s="140"/>
      <c r="J64" s="18">
        <v>22</v>
      </c>
      <c r="K64" s="18">
        <v>0</v>
      </c>
      <c r="L64" s="18">
        <v>0</v>
      </c>
      <c r="M64" s="18">
        <v>0</v>
      </c>
      <c r="N64" s="18">
        <v>20</v>
      </c>
      <c r="O64" s="55">
        <f t="shared" ref="O64:O66" si="12">K64+L64+M64+N64</f>
        <v>20</v>
      </c>
      <c r="P64" s="20">
        <f>Q64-O64</f>
        <v>26</v>
      </c>
      <c r="Q64" s="20">
        <f>ROUND(PRODUCT(J64,25)/12,0)</f>
        <v>46</v>
      </c>
      <c r="R64" s="25"/>
      <c r="S64" s="11" t="s">
        <v>28</v>
      </c>
      <c r="T64" s="26"/>
      <c r="U64" s="11" t="s">
        <v>38</v>
      </c>
    </row>
    <row r="65" spans="1:21">
      <c r="A65" s="56" t="s">
        <v>129</v>
      </c>
      <c r="B65" s="138" t="s">
        <v>130</v>
      </c>
      <c r="C65" s="139"/>
      <c r="D65" s="139"/>
      <c r="E65" s="139"/>
      <c r="F65" s="139"/>
      <c r="G65" s="139"/>
      <c r="H65" s="139"/>
      <c r="I65" s="140"/>
      <c r="J65" s="18">
        <v>4</v>
      </c>
      <c r="K65" s="18">
        <v>0</v>
      </c>
      <c r="L65" s="18">
        <v>0</v>
      </c>
      <c r="M65" s="18">
        <v>1</v>
      </c>
      <c r="N65" s="18">
        <v>2</v>
      </c>
      <c r="O65" s="55">
        <f t="shared" si="12"/>
        <v>3</v>
      </c>
      <c r="P65" s="20">
        <f t="shared" ref="P65:P66" si="13">Q65-O65</f>
        <v>5</v>
      </c>
      <c r="Q65" s="20">
        <f t="shared" ref="Q65:Q66" si="14">ROUND(PRODUCT(J65,25)/12,0)</f>
        <v>8</v>
      </c>
      <c r="R65" s="25"/>
      <c r="S65" s="11" t="s">
        <v>28</v>
      </c>
      <c r="T65" s="26"/>
      <c r="U65" s="11" t="s">
        <v>38</v>
      </c>
    </row>
    <row r="66" spans="1:21">
      <c r="A66" s="65" t="s">
        <v>140</v>
      </c>
      <c r="B66" s="138" t="s">
        <v>141</v>
      </c>
      <c r="C66" s="139"/>
      <c r="D66" s="139"/>
      <c r="E66" s="139"/>
      <c r="F66" s="139"/>
      <c r="G66" s="139"/>
      <c r="H66" s="139"/>
      <c r="I66" s="140"/>
      <c r="J66" s="18">
        <v>4</v>
      </c>
      <c r="K66" s="18">
        <v>0</v>
      </c>
      <c r="L66" s="18">
        <v>0</v>
      </c>
      <c r="M66" s="18">
        <v>0</v>
      </c>
      <c r="N66" s="18">
        <v>2</v>
      </c>
      <c r="O66" s="55">
        <f t="shared" si="12"/>
        <v>2</v>
      </c>
      <c r="P66" s="20">
        <f t="shared" si="13"/>
        <v>6</v>
      </c>
      <c r="Q66" s="20">
        <f t="shared" si="14"/>
        <v>8</v>
      </c>
      <c r="R66" s="25"/>
      <c r="S66" s="11"/>
      <c r="T66" s="26" t="s">
        <v>32</v>
      </c>
      <c r="U66" s="11" t="s">
        <v>38</v>
      </c>
    </row>
    <row r="67" spans="1:21">
      <c r="A67" s="22" t="s">
        <v>25</v>
      </c>
      <c r="B67" s="117"/>
      <c r="C67" s="118"/>
      <c r="D67" s="118"/>
      <c r="E67" s="118"/>
      <c r="F67" s="118"/>
      <c r="G67" s="118"/>
      <c r="H67" s="118"/>
      <c r="I67" s="119"/>
      <c r="J67" s="22">
        <f t="shared" ref="J67:Q67" si="15">SUM(J64:J66)</f>
        <v>30</v>
      </c>
      <c r="K67" s="22">
        <f t="shared" si="15"/>
        <v>0</v>
      </c>
      <c r="L67" s="22">
        <f t="shared" si="15"/>
        <v>0</v>
      </c>
      <c r="M67" s="53">
        <f t="shared" si="15"/>
        <v>1</v>
      </c>
      <c r="N67" s="22">
        <f t="shared" si="15"/>
        <v>24</v>
      </c>
      <c r="O67" s="22">
        <f t="shared" si="15"/>
        <v>25</v>
      </c>
      <c r="P67" s="22">
        <f t="shared" si="15"/>
        <v>37</v>
      </c>
      <c r="Q67" s="22">
        <f t="shared" si="15"/>
        <v>62</v>
      </c>
      <c r="R67" s="22">
        <f>COUNTIF(R64:R66,"E")</f>
        <v>0</v>
      </c>
      <c r="S67" s="22">
        <f>COUNTIF(S64:S66,"C")</f>
        <v>2</v>
      </c>
      <c r="T67" s="22">
        <f>COUNTIF(T64:T66,"VP")</f>
        <v>1</v>
      </c>
      <c r="U67" s="50">
        <f>COUNTA(U64:U66)</f>
        <v>3</v>
      </c>
    </row>
    <row r="68" spans="1:21" ht="9" customHeight="1"/>
    <row r="69" spans="1:21">
      <c r="B69" s="2"/>
      <c r="C69" s="2"/>
      <c r="D69" s="2"/>
      <c r="E69" s="2"/>
      <c r="F69" s="2"/>
      <c r="G69" s="2"/>
      <c r="N69" s="8"/>
      <c r="O69" s="8"/>
      <c r="P69" s="8"/>
      <c r="Q69" s="8"/>
      <c r="R69" s="8"/>
      <c r="S69" s="8"/>
      <c r="T69" s="8"/>
    </row>
    <row r="72" spans="1:21" ht="19.5" customHeight="1">
      <c r="A72" s="192" t="s">
        <v>46</v>
      </c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</row>
    <row r="73" spans="1:21" ht="27.75" customHeight="1">
      <c r="A73" s="182" t="s">
        <v>27</v>
      </c>
      <c r="B73" s="176" t="s">
        <v>26</v>
      </c>
      <c r="C73" s="177"/>
      <c r="D73" s="177"/>
      <c r="E73" s="177"/>
      <c r="F73" s="177"/>
      <c r="G73" s="177"/>
      <c r="H73" s="177"/>
      <c r="I73" s="178"/>
      <c r="J73" s="205" t="s">
        <v>40</v>
      </c>
      <c r="K73" s="175" t="s">
        <v>24</v>
      </c>
      <c r="L73" s="175"/>
      <c r="M73" s="175"/>
      <c r="N73" s="175"/>
      <c r="O73" s="175" t="s">
        <v>41</v>
      </c>
      <c r="P73" s="181"/>
      <c r="Q73" s="181"/>
      <c r="R73" s="175" t="s">
        <v>23</v>
      </c>
      <c r="S73" s="175"/>
      <c r="T73" s="175"/>
      <c r="U73" s="175" t="s">
        <v>22</v>
      </c>
    </row>
    <row r="74" spans="1:21" ht="12.75" customHeight="1">
      <c r="A74" s="183"/>
      <c r="B74" s="179"/>
      <c r="C74" s="163"/>
      <c r="D74" s="163"/>
      <c r="E74" s="163"/>
      <c r="F74" s="163"/>
      <c r="G74" s="163"/>
      <c r="H74" s="163"/>
      <c r="I74" s="180"/>
      <c r="J74" s="204"/>
      <c r="K74" s="5" t="s">
        <v>28</v>
      </c>
      <c r="L74" s="5" t="s">
        <v>29</v>
      </c>
      <c r="M74" s="51" t="s">
        <v>97</v>
      </c>
      <c r="N74" s="5" t="s">
        <v>98</v>
      </c>
      <c r="O74" s="5" t="s">
        <v>33</v>
      </c>
      <c r="P74" s="5" t="s">
        <v>7</v>
      </c>
      <c r="Q74" s="5" t="s">
        <v>30</v>
      </c>
      <c r="R74" s="5" t="s">
        <v>31</v>
      </c>
      <c r="S74" s="5" t="s">
        <v>28</v>
      </c>
      <c r="T74" s="5" t="s">
        <v>32</v>
      </c>
      <c r="U74" s="175"/>
    </row>
    <row r="75" spans="1:21">
      <c r="A75" s="218" t="s">
        <v>139</v>
      </c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20"/>
    </row>
    <row r="76" spans="1:21">
      <c r="A76" s="56" t="s">
        <v>131</v>
      </c>
      <c r="B76" s="138" t="s">
        <v>132</v>
      </c>
      <c r="C76" s="139"/>
      <c r="D76" s="139"/>
      <c r="E76" s="139"/>
      <c r="F76" s="139"/>
      <c r="G76" s="139"/>
      <c r="H76" s="139"/>
      <c r="I76" s="140"/>
      <c r="J76" s="18">
        <v>7</v>
      </c>
      <c r="K76" s="18">
        <v>2</v>
      </c>
      <c r="L76" s="18">
        <v>0</v>
      </c>
      <c r="M76" s="18">
        <v>1</v>
      </c>
      <c r="N76" s="18">
        <v>1</v>
      </c>
      <c r="O76" s="55">
        <f t="shared" ref="O76:O83" si="16">K76+L76+M76+N76</f>
        <v>4</v>
      </c>
      <c r="P76" s="20">
        <f>Q76-O76</f>
        <v>9</v>
      </c>
      <c r="Q76" s="20">
        <f>ROUND(PRODUCT(J76,25)/14,0)</f>
        <v>13</v>
      </c>
      <c r="R76" s="27" t="s">
        <v>31</v>
      </c>
      <c r="S76" s="27"/>
      <c r="T76" s="28"/>
      <c r="U76" s="11" t="s">
        <v>36</v>
      </c>
    </row>
    <row r="77" spans="1:21">
      <c r="A77" s="56" t="s">
        <v>133</v>
      </c>
      <c r="B77" s="138" t="s">
        <v>134</v>
      </c>
      <c r="C77" s="139"/>
      <c r="D77" s="139"/>
      <c r="E77" s="139"/>
      <c r="F77" s="139"/>
      <c r="G77" s="139"/>
      <c r="H77" s="139"/>
      <c r="I77" s="140"/>
      <c r="J77" s="18">
        <v>7</v>
      </c>
      <c r="K77" s="18">
        <v>2</v>
      </c>
      <c r="L77" s="18">
        <v>0</v>
      </c>
      <c r="M77" s="18">
        <v>1</v>
      </c>
      <c r="N77" s="18">
        <v>1</v>
      </c>
      <c r="O77" s="55">
        <f t="shared" si="16"/>
        <v>4</v>
      </c>
      <c r="P77" s="20">
        <f t="shared" ref="P77:P79" si="17">Q77-O77</f>
        <v>9</v>
      </c>
      <c r="Q77" s="20">
        <f t="shared" ref="Q77:Q79" si="18">ROUND(PRODUCT(J77,25)/14,0)</f>
        <v>13</v>
      </c>
      <c r="R77" s="27" t="s">
        <v>31</v>
      </c>
      <c r="S77" s="27"/>
      <c r="T77" s="28"/>
      <c r="U77" s="11" t="s">
        <v>36</v>
      </c>
    </row>
    <row r="78" spans="1:21">
      <c r="A78" s="83" t="s">
        <v>142</v>
      </c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3"/>
    </row>
    <row r="79" spans="1:21">
      <c r="A79" s="56" t="s">
        <v>135</v>
      </c>
      <c r="B79" s="138" t="s">
        <v>136</v>
      </c>
      <c r="C79" s="139"/>
      <c r="D79" s="139"/>
      <c r="E79" s="139"/>
      <c r="F79" s="139"/>
      <c r="G79" s="139"/>
      <c r="H79" s="139"/>
      <c r="I79" s="140"/>
      <c r="J79" s="18">
        <v>7</v>
      </c>
      <c r="K79" s="18">
        <v>2</v>
      </c>
      <c r="L79" s="18">
        <v>1</v>
      </c>
      <c r="M79" s="18">
        <v>0</v>
      </c>
      <c r="N79" s="18">
        <v>1</v>
      </c>
      <c r="O79" s="55">
        <f t="shared" si="16"/>
        <v>4</v>
      </c>
      <c r="P79" s="20">
        <f t="shared" si="17"/>
        <v>9</v>
      </c>
      <c r="Q79" s="20">
        <f t="shared" si="18"/>
        <v>13</v>
      </c>
      <c r="R79" s="27" t="s">
        <v>31</v>
      </c>
      <c r="S79" s="27"/>
      <c r="T79" s="28"/>
      <c r="U79" s="11" t="s">
        <v>38</v>
      </c>
    </row>
    <row r="80" spans="1:21">
      <c r="A80" s="56" t="s">
        <v>137</v>
      </c>
      <c r="B80" s="138" t="s">
        <v>138</v>
      </c>
      <c r="C80" s="139"/>
      <c r="D80" s="139"/>
      <c r="E80" s="139"/>
      <c r="F80" s="139"/>
      <c r="G80" s="139"/>
      <c r="H80" s="139"/>
      <c r="I80" s="140"/>
      <c r="J80" s="18">
        <v>7</v>
      </c>
      <c r="K80" s="18">
        <v>2</v>
      </c>
      <c r="L80" s="18">
        <v>1</v>
      </c>
      <c r="M80" s="18">
        <v>0</v>
      </c>
      <c r="N80" s="18">
        <v>1</v>
      </c>
      <c r="O80" s="55">
        <f t="shared" si="16"/>
        <v>4</v>
      </c>
      <c r="P80" s="20">
        <f t="shared" ref="P80" si="19">Q80-O80</f>
        <v>9</v>
      </c>
      <c r="Q80" s="20">
        <f t="shared" ref="Q80" si="20">ROUND(PRODUCT(J80,25)/14,0)</f>
        <v>13</v>
      </c>
      <c r="R80" s="27" t="s">
        <v>31</v>
      </c>
      <c r="S80" s="27"/>
      <c r="T80" s="28"/>
      <c r="U80" s="11" t="s">
        <v>38</v>
      </c>
    </row>
    <row r="81" spans="1:21">
      <c r="A81" s="83" t="s">
        <v>143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5"/>
    </row>
    <row r="82" spans="1:21">
      <c r="A82" s="64" t="s">
        <v>128</v>
      </c>
      <c r="B82" s="174" t="s">
        <v>146</v>
      </c>
      <c r="C82" s="174"/>
      <c r="D82" s="174"/>
      <c r="E82" s="174"/>
      <c r="F82" s="174"/>
      <c r="G82" s="174"/>
      <c r="H82" s="174"/>
      <c r="I82" s="174"/>
      <c r="J82" s="27">
        <v>22</v>
      </c>
      <c r="K82" s="27">
        <v>0</v>
      </c>
      <c r="L82" s="27">
        <v>0</v>
      </c>
      <c r="M82" s="27">
        <v>0</v>
      </c>
      <c r="N82" s="27">
        <v>20</v>
      </c>
      <c r="O82" s="55">
        <f t="shared" si="16"/>
        <v>20</v>
      </c>
      <c r="P82" s="20">
        <f t="shared" ref="P82:P83" si="21">Q82-O82</f>
        <v>26</v>
      </c>
      <c r="Q82" s="20">
        <f t="shared" ref="Q82:Q83" si="22">ROUND(PRODUCT(J82,25)/12,0)</f>
        <v>46</v>
      </c>
      <c r="R82" s="27"/>
      <c r="S82" s="27" t="s">
        <v>28</v>
      </c>
      <c r="T82" s="28"/>
      <c r="U82" s="11" t="s">
        <v>38</v>
      </c>
    </row>
    <row r="83" spans="1:21">
      <c r="A83" s="64" t="s">
        <v>147</v>
      </c>
      <c r="B83" s="174" t="s">
        <v>148</v>
      </c>
      <c r="C83" s="174"/>
      <c r="D83" s="174"/>
      <c r="E83" s="174"/>
      <c r="F83" s="174"/>
      <c r="G83" s="174"/>
      <c r="H83" s="174"/>
      <c r="I83" s="174"/>
      <c r="J83" s="27">
        <v>22</v>
      </c>
      <c r="K83" s="27">
        <v>0</v>
      </c>
      <c r="L83" s="27">
        <v>0</v>
      </c>
      <c r="M83" s="27">
        <v>0</v>
      </c>
      <c r="N83" s="27">
        <v>20</v>
      </c>
      <c r="O83" s="55">
        <f t="shared" si="16"/>
        <v>20</v>
      </c>
      <c r="P83" s="20">
        <f t="shared" si="21"/>
        <v>26</v>
      </c>
      <c r="Q83" s="20">
        <f t="shared" si="22"/>
        <v>46</v>
      </c>
      <c r="R83" s="27"/>
      <c r="S83" s="27" t="s">
        <v>28</v>
      </c>
      <c r="T83" s="28"/>
      <c r="U83" s="11" t="s">
        <v>38</v>
      </c>
    </row>
    <row r="84" spans="1:21" ht="24.75" customHeight="1">
      <c r="A84" s="142" t="s">
        <v>48</v>
      </c>
      <c r="B84" s="143"/>
      <c r="C84" s="143"/>
      <c r="D84" s="143"/>
      <c r="E84" s="143"/>
      <c r="F84" s="143"/>
      <c r="G84" s="143"/>
      <c r="H84" s="143"/>
      <c r="I84" s="144"/>
      <c r="J84" s="24">
        <f>SUM(J76,J79,J82)</f>
        <v>36</v>
      </c>
      <c r="K84" s="24">
        <f t="shared" ref="K84:Q84" si="23">SUM(K76,K79,K82)</f>
        <v>4</v>
      </c>
      <c r="L84" s="24">
        <f t="shared" si="23"/>
        <v>1</v>
      </c>
      <c r="M84" s="24">
        <f t="shared" si="23"/>
        <v>1</v>
      </c>
      <c r="N84" s="24">
        <f t="shared" si="23"/>
        <v>22</v>
      </c>
      <c r="O84" s="24">
        <f t="shared" si="23"/>
        <v>28</v>
      </c>
      <c r="P84" s="24">
        <f t="shared" si="23"/>
        <v>44</v>
      </c>
      <c r="Q84" s="24">
        <f t="shared" si="23"/>
        <v>72</v>
      </c>
      <c r="R84" s="24">
        <f>COUNTIF(R76,"E")+COUNTIF(R79,"E")+COUNTIF(R82,"E")</f>
        <v>2</v>
      </c>
      <c r="S84" s="24">
        <f>COUNTIF(S76,"C")+COUNTIF(S79,"C")+COUNTIF(S82,"C")</f>
        <v>1</v>
      </c>
      <c r="T84" s="24">
        <f>COUNTIF(T76,"VP")+COUNTIF(T79,"VP")+COUNTIF(T82,"VP")</f>
        <v>0</v>
      </c>
      <c r="U84" s="29"/>
    </row>
    <row r="85" spans="1:21" ht="13.5" customHeight="1">
      <c r="A85" s="151" t="s">
        <v>49</v>
      </c>
      <c r="B85" s="152"/>
      <c r="C85" s="152"/>
      <c r="D85" s="152"/>
      <c r="E85" s="152"/>
      <c r="F85" s="152"/>
      <c r="G85" s="152"/>
      <c r="H85" s="152"/>
      <c r="I85" s="152"/>
      <c r="J85" s="153"/>
      <c r="K85" s="24">
        <f>SUM(K76,K79)*14+K82*12</f>
        <v>56</v>
      </c>
      <c r="L85" s="24">
        <f t="shared" ref="L85:Q85" si="24">SUM(L76,L79)*14+L82*12</f>
        <v>14</v>
      </c>
      <c r="M85" s="24">
        <f t="shared" si="24"/>
        <v>14</v>
      </c>
      <c r="N85" s="24">
        <f t="shared" si="24"/>
        <v>268</v>
      </c>
      <c r="O85" s="24">
        <f t="shared" si="24"/>
        <v>352</v>
      </c>
      <c r="P85" s="24">
        <f t="shared" si="24"/>
        <v>564</v>
      </c>
      <c r="Q85" s="24">
        <f t="shared" si="24"/>
        <v>916</v>
      </c>
      <c r="R85" s="157"/>
      <c r="S85" s="158"/>
      <c r="T85" s="158"/>
      <c r="U85" s="159"/>
    </row>
    <row r="86" spans="1:21">
      <c r="A86" s="154"/>
      <c r="B86" s="155"/>
      <c r="C86" s="155"/>
      <c r="D86" s="155"/>
      <c r="E86" s="155"/>
      <c r="F86" s="155"/>
      <c r="G86" s="155"/>
      <c r="H86" s="155"/>
      <c r="I86" s="155"/>
      <c r="J86" s="156"/>
      <c r="K86" s="145">
        <f>SUM(K85:N85)</f>
        <v>352</v>
      </c>
      <c r="L86" s="146"/>
      <c r="M86" s="146"/>
      <c r="N86" s="147"/>
      <c r="O86" s="148">
        <f>SUM(O85:P85)</f>
        <v>916</v>
      </c>
      <c r="P86" s="149"/>
      <c r="Q86" s="150"/>
      <c r="R86" s="160"/>
      <c r="S86" s="161"/>
      <c r="T86" s="161"/>
      <c r="U86" s="162"/>
    </row>
    <row r="87" spans="1:2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3"/>
      <c r="L87" s="13"/>
      <c r="M87" s="13"/>
      <c r="N87" s="13"/>
      <c r="O87" s="14"/>
      <c r="P87" s="14"/>
      <c r="Q87" s="14"/>
      <c r="R87" s="15"/>
      <c r="S87" s="15"/>
      <c r="T87" s="15"/>
      <c r="U87" s="15"/>
    </row>
    <row r="88" spans="1:21" ht="1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13"/>
      <c r="N88" s="13"/>
      <c r="O88" s="16"/>
      <c r="P88" s="16"/>
      <c r="Q88" s="16"/>
      <c r="R88" s="16"/>
      <c r="S88" s="16"/>
      <c r="T88" s="16"/>
      <c r="U88" s="16"/>
    </row>
    <row r="89" spans="1:21" ht="24" customHeight="1">
      <c r="A89" s="163" t="s">
        <v>156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</row>
    <row r="90" spans="1:21" ht="16.5" customHeight="1">
      <c r="A90" s="117" t="s">
        <v>51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9"/>
    </row>
    <row r="91" spans="1:21" ht="34.5" customHeight="1">
      <c r="A91" s="141" t="s">
        <v>27</v>
      </c>
      <c r="B91" s="141" t="s">
        <v>26</v>
      </c>
      <c r="C91" s="141"/>
      <c r="D91" s="141"/>
      <c r="E91" s="141"/>
      <c r="F91" s="141"/>
      <c r="G91" s="141"/>
      <c r="H91" s="141"/>
      <c r="I91" s="141"/>
      <c r="J91" s="116" t="s">
        <v>40</v>
      </c>
      <c r="K91" s="116" t="s">
        <v>24</v>
      </c>
      <c r="L91" s="116"/>
      <c r="M91" s="116"/>
      <c r="N91" s="116"/>
      <c r="O91" s="116" t="s">
        <v>41</v>
      </c>
      <c r="P91" s="116"/>
      <c r="Q91" s="116"/>
      <c r="R91" s="116" t="s">
        <v>23</v>
      </c>
      <c r="S91" s="116"/>
      <c r="T91" s="116"/>
      <c r="U91" s="116" t="s">
        <v>22</v>
      </c>
    </row>
    <row r="92" spans="1:21">
      <c r="A92" s="141"/>
      <c r="B92" s="141"/>
      <c r="C92" s="141"/>
      <c r="D92" s="141"/>
      <c r="E92" s="141"/>
      <c r="F92" s="141"/>
      <c r="G92" s="141"/>
      <c r="H92" s="141"/>
      <c r="I92" s="141"/>
      <c r="J92" s="116"/>
      <c r="K92" s="31" t="s">
        <v>28</v>
      </c>
      <c r="L92" s="31" t="s">
        <v>29</v>
      </c>
      <c r="M92" s="54" t="s">
        <v>97</v>
      </c>
      <c r="N92" s="31" t="s">
        <v>98</v>
      </c>
      <c r="O92" s="31" t="s">
        <v>33</v>
      </c>
      <c r="P92" s="31" t="s">
        <v>7</v>
      </c>
      <c r="Q92" s="31" t="s">
        <v>30</v>
      </c>
      <c r="R92" s="31" t="s">
        <v>31</v>
      </c>
      <c r="S92" s="31" t="s">
        <v>28</v>
      </c>
      <c r="T92" s="31" t="s">
        <v>32</v>
      </c>
      <c r="U92" s="116"/>
    </row>
    <row r="93" spans="1:21" ht="17.25" customHeight="1">
      <c r="A93" s="117" t="s">
        <v>63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9"/>
    </row>
    <row r="94" spans="1:21">
      <c r="A94" s="32" t="str">
        <f t="shared" ref="A94:A99" si="25">IF(ISNA(INDEX($A$34:$U$87,MATCH($B94,$B$34:$B$87,0),1)),"",INDEX($A$34:$U$87,MATCH($B94,$B$34:$B$87,0),1))</f>
        <v>MMM8144</v>
      </c>
      <c r="B94" s="138" t="s">
        <v>109</v>
      </c>
      <c r="C94" s="139"/>
      <c r="D94" s="139"/>
      <c r="E94" s="139"/>
      <c r="F94" s="139"/>
      <c r="G94" s="139"/>
      <c r="H94" s="139"/>
      <c r="I94" s="140"/>
      <c r="J94" s="20">
        <f t="shared" ref="J94:J99" si="26">IF(ISNA(INDEX($A$34:$U$87,MATCH($B94,$B$34:$B$87,0),10)),"",INDEX($A$34:$U$87,MATCH($B94,$B$34:$B$87,0),10))</f>
        <v>7</v>
      </c>
      <c r="K94" s="20">
        <f t="shared" ref="K94:K99" si="27">IF(ISNA(INDEX($A$34:$U$87,MATCH($B94,$B$34:$B$87,0),11)),"",INDEX($A$34:$U$87,MATCH($B94,$B$34:$B$87,0),11))</f>
        <v>2</v>
      </c>
      <c r="L94" s="20">
        <f t="shared" ref="L94:L99" si="28">IF(ISNA(INDEX($A$34:$U$87,MATCH($B94,$B$34:$B$87,0),12)),"",INDEX($A$34:$U$87,MATCH($B94,$B$34:$B$87,0),12))</f>
        <v>1</v>
      </c>
      <c r="M94" s="20">
        <f t="shared" ref="M94:M99" si="29">IF(ISNA(INDEX($A$34:$U$87,MATCH($B94,$B$34:$B$87,0),13)),"",INDEX($A$34:$U$87,MATCH($B94,$B$34:$B$87,0),13))</f>
        <v>0</v>
      </c>
      <c r="N94" s="20">
        <f t="shared" ref="N94:N99" si="30">IF(ISNA(INDEX($A$34:$U$87,MATCH($B94,$B$34:$B$87,0),14)),"",INDEX($A$34:$U$87,MATCH($B94,$B$34:$B$87,0),14))</f>
        <v>2</v>
      </c>
      <c r="O94" s="20">
        <f t="shared" ref="O94:O99" si="31">IF(ISNA(INDEX($A$34:$U$87,MATCH($B94,$B$34:$B$87,0),15)),"",INDEX($A$34:$U$87,MATCH($B94,$B$34:$B$87,0),15))</f>
        <v>5</v>
      </c>
      <c r="P94" s="20">
        <f t="shared" ref="P94:P99" si="32">IF(ISNA(INDEX($A$34:$U$87,MATCH($B94,$B$34:$B$87,0),16)),"",INDEX($A$34:$U$87,MATCH($B94,$B$34:$B$87,0),16))</f>
        <v>8</v>
      </c>
      <c r="Q94" s="20">
        <f t="shared" ref="Q94:Q99" si="33">IF(ISNA(INDEX($A$34:$U$87,MATCH($B94,$B$34:$B$87,0),17)),"",INDEX($A$34:$U$87,MATCH($B94,$B$34:$B$87,0),17))</f>
        <v>13</v>
      </c>
      <c r="R94" s="30" t="str">
        <f t="shared" ref="R94:R99" si="34">IF(ISNA(INDEX($A$34:$U$87,MATCH($B94,$B$34:$B$87,0),18)),"",INDEX($A$34:$U$87,MATCH($B94,$B$34:$B$87,0),18))</f>
        <v>E</v>
      </c>
      <c r="S94" s="30">
        <f t="shared" ref="S94:S99" si="35">IF(ISNA(INDEX($A$34:$U$87,MATCH($B94,$B$34:$B$87,0),19)),"",INDEX($A$34:$U$87,MATCH($B94,$B$34:$B$87,0),19))</f>
        <v>0</v>
      </c>
      <c r="T94" s="30">
        <f t="shared" ref="T94:T99" si="36">IF(ISNA(INDEX($A$34:$U$87,MATCH($B94,$B$34:$B$87,0),20)),"",INDEX($A$34:$U$87,MATCH($B94,$B$34:$B$87,0),20))</f>
        <v>0</v>
      </c>
      <c r="U94" s="21" t="s">
        <v>36</v>
      </c>
    </row>
    <row r="95" spans="1:21">
      <c r="A95" s="32" t="str">
        <f t="shared" si="25"/>
        <v>MMM8145</v>
      </c>
      <c r="B95" s="138" t="s">
        <v>111</v>
      </c>
      <c r="C95" s="139"/>
      <c r="D95" s="139"/>
      <c r="E95" s="139"/>
      <c r="F95" s="139"/>
      <c r="G95" s="139"/>
      <c r="H95" s="139"/>
      <c r="I95" s="140"/>
      <c r="J95" s="20">
        <f t="shared" si="26"/>
        <v>7</v>
      </c>
      <c r="K95" s="20">
        <f t="shared" si="27"/>
        <v>2</v>
      </c>
      <c r="L95" s="20">
        <f t="shared" si="28"/>
        <v>1</v>
      </c>
      <c r="M95" s="20">
        <f t="shared" si="29"/>
        <v>0</v>
      </c>
      <c r="N95" s="20">
        <f t="shared" si="30"/>
        <v>2</v>
      </c>
      <c r="O95" s="20">
        <f t="shared" si="31"/>
        <v>5</v>
      </c>
      <c r="P95" s="20">
        <f t="shared" si="32"/>
        <v>8</v>
      </c>
      <c r="Q95" s="20">
        <f t="shared" si="33"/>
        <v>13</v>
      </c>
      <c r="R95" s="30" t="str">
        <f t="shared" si="34"/>
        <v>E</v>
      </c>
      <c r="S95" s="30">
        <f t="shared" si="35"/>
        <v>0</v>
      </c>
      <c r="T95" s="30">
        <f t="shared" si="36"/>
        <v>0</v>
      </c>
      <c r="U95" s="21" t="s">
        <v>36</v>
      </c>
    </row>
    <row r="96" spans="1:21">
      <c r="A96" s="32" t="str">
        <f t="shared" si="25"/>
        <v>MMM8063</v>
      </c>
      <c r="B96" s="138" t="s">
        <v>115</v>
      </c>
      <c r="C96" s="139"/>
      <c r="D96" s="139"/>
      <c r="E96" s="139"/>
      <c r="F96" s="139"/>
      <c r="G96" s="139"/>
      <c r="H96" s="139"/>
      <c r="I96" s="140"/>
      <c r="J96" s="20">
        <f t="shared" si="26"/>
        <v>8</v>
      </c>
      <c r="K96" s="20">
        <f t="shared" si="27"/>
        <v>2</v>
      </c>
      <c r="L96" s="20">
        <f t="shared" si="28"/>
        <v>1</v>
      </c>
      <c r="M96" s="20">
        <f t="shared" si="29"/>
        <v>0</v>
      </c>
      <c r="N96" s="20">
        <f t="shared" si="30"/>
        <v>2</v>
      </c>
      <c r="O96" s="20">
        <f t="shared" si="31"/>
        <v>5</v>
      </c>
      <c r="P96" s="20">
        <f t="shared" si="32"/>
        <v>9</v>
      </c>
      <c r="Q96" s="20">
        <f t="shared" si="33"/>
        <v>14</v>
      </c>
      <c r="R96" s="30" t="str">
        <f t="shared" si="34"/>
        <v>E</v>
      </c>
      <c r="S96" s="30">
        <f t="shared" si="35"/>
        <v>0</v>
      </c>
      <c r="T96" s="30">
        <f t="shared" si="36"/>
        <v>0</v>
      </c>
      <c r="U96" s="21" t="s">
        <v>36</v>
      </c>
    </row>
    <row r="97" spans="1:21">
      <c r="A97" s="32" t="str">
        <f t="shared" si="25"/>
        <v>MMM8064</v>
      </c>
      <c r="B97" s="138" t="s">
        <v>117</v>
      </c>
      <c r="C97" s="139"/>
      <c r="D97" s="139"/>
      <c r="E97" s="139"/>
      <c r="F97" s="139"/>
      <c r="G97" s="139"/>
      <c r="H97" s="139"/>
      <c r="I97" s="140"/>
      <c r="J97" s="20">
        <f t="shared" si="26"/>
        <v>8</v>
      </c>
      <c r="K97" s="20">
        <f t="shared" si="27"/>
        <v>2</v>
      </c>
      <c r="L97" s="20">
        <f t="shared" si="28"/>
        <v>1</v>
      </c>
      <c r="M97" s="20">
        <f t="shared" si="29"/>
        <v>0</v>
      </c>
      <c r="N97" s="20">
        <f t="shared" si="30"/>
        <v>2</v>
      </c>
      <c r="O97" s="20">
        <f t="shared" si="31"/>
        <v>5</v>
      </c>
      <c r="P97" s="20">
        <f t="shared" si="32"/>
        <v>9</v>
      </c>
      <c r="Q97" s="20">
        <f t="shared" si="33"/>
        <v>14</v>
      </c>
      <c r="R97" s="30" t="str">
        <f t="shared" si="34"/>
        <v>E</v>
      </c>
      <c r="S97" s="30">
        <f t="shared" si="35"/>
        <v>0</v>
      </c>
      <c r="T97" s="30">
        <f t="shared" si="36"/>
        <v>0</v>
      </c>
      <c r="U97" s="21" t="s">
        <v>36</v>
      </c>
    </row>
    <row r="98" spans="1:21">
      <c r="A98" s="32" t="str">
        <f t="shared" si="25"/>
        <v>MMM9001</v>
      </c>
      <c r="B98" s="138" t="s">
        <v>119</v>
      </c>
      <c r="C98" s="139"/>
      <c r="D98" s="139"/>
      <c r="E98" s="139"/>
      <c r="F98" s="139"/>
      <c r="G98" s="139"/>
      <c r="H98" s="139"/>
      <c r="I98" s="140"/>
      <c r="J98" s="20">
        <f t="shared" si="26"/>
        <v>6</v>
      </c>
      <c r="K98" s="20">
        <f t="shared" si="27"/>
        <v>2</v>
      </c>
      <c r="L98" s="20">
        <f t="shared" si="28"/>
        <v>1</v>
      </c>
      <c r="M98" s="20">
        <f t="shared" si="29"/>
        <v>0</v>
      </c>
      <c r="N98" s="20">
        <f t="shared" si="30"/>
        <v>0</v>
      </c>
      <c r="O98" s="20">
        <f t="shared" si="31"/>
        <v>3</v>
      </c>
      <c r="P98" s="20">
        <f t="shared" si="32"/>
        <v>8</v>
      </c>
      <c r="Q98" s="20">
        <f t="shared" si="33"/>
        <v>11</v>
      </c>
      <c r="R98" s="30">
        <f t="shared" si="34"/>
        <v>0</v>
      </c>
      <c r="S98" s="30" t="str">
        <f t="shared" si="35"/>
        <v>C</v>
      </c>
      <c r="T98" s="30">
        <f t="shared" si="36"/>
        <v>0</v>
      </c>
      <c r="U98" s="21" t="s">
        <v>36</v>
      </c>
    </row>
    <row r="99" spans="1:21">
      <c r="A99" s="32" t="str">
        <f t="shared" si="25"/>
        <v>MMX9901</v>
      </c>
      <c r="B99" s="138" t="s">
        <v>125</v>
      </c>
      <c r="C99" s="139"/>
      <c r="D99" s="139"/>
      <c r="E99" s="139"/>
      <c r="F99" s="139"/>
      <c r="G99" s="139"/>
      <c r="H99" s="139"/>
      <c r="I99" s="140"/>
      <c r="J99" s="20">
        <f t="shared" si="26"/>
        <v>7</v>
      </c>
      <c r="K99" s="20">
        <f t="shared" si="27"/>
        <v>2</v>
      </c>
      <c r="L99" s="20">
        <f t="shared" si="28"/>
        <v>1</v>
      </c>
      <c r="M99" s="20">
        <f t="shared" si="29"/>
        <v>0</v>
      </c>
      <c r="N99" s="20">
        <f t="shared" si="30"/>
        <v>2</v>
      </c>
      <c r="O99" s="20">
        <f t="shared" si="31"/>
        <v>5</v>
      </c>
      <c r="P99" s="20">
        <f t="shared" si="32"/>
        <v>8</v>
      </c>
      <c r="Q99" s="20">
        <f t="shared" si="33"/>
        <v>13</v>
      </c>
      <c r="R99" s="30" t="str">
        <f t="shared" si="34"/>
        <v>E</v>
      </c>
      <c r="S99" s="30">
        <f t="shared" si="35"/>
        <v>0</v>
      </c>
      <c r="T99" s="30">
        <f t="shared" si="36"/>
        <v>0</v>
      </c>
      <c r="U99" s="21" t="s">
        <v>36</v>
      </c>
    </row>
    <row r="100" spans="1:21">
      <c r="A100" s="22" t="s">
        <v>25</v>
      </c>
      <c r="B100" s="165"/>
      <c r="C100" s="166"/>
      <c r="D100" s="166"/>
      <c r="E100" s="166"/>
      <c r="F100" s="166"/>
      <c r="G100" s="166"/>
      <c r="H100" s="166"/>
      <c r="I100" s="167"/>
      <c r="J100" s="24">
        <f>IF(ISNA(SUM(J94:J99)),"",SUM(J94:J99))</f>
        <v>43</v>
      </c>
      <c r="K100" s="24">
        <f t="shared" ref="K100:Q100" si="37">SUM(K94:K99)</f>
        <v>12</v>
      </c>
      <c r="L100" s="24">
        <f t="shared" si="37"/>
        <v>6</v>
      </c>
      <c r="M100" s="24">
        <f t="shared" si="37"/>
        <v>0</v>
      </c>
      <c r="N100" s="24">
        <f t="shared" si="37"/>
        <v>10</v>
      </c>
      <c r="O100" s="24">
        <f t="shared" si="37"/>
        <v>28</v>
      </c>
      <c r="P100" s="24">
        <f t="shared" si="37"/>
        <v>50</v>
      </c>
      <c r="Q100" s="24">
        <f t="shared" si="37"/>
        <v>78</v>
      </c>
      <c r="R100" s="22">
        <f>COUNTIF(R94:R99,"E")</f>
        <v>5</v>
      </c>
      <c r="S100" s="22">
        <f>COUNTIF(S94:S99,"C")</f>
        <v>1</v>
      </c>
      <c r="T100" s="22">
        <f>COUNTIF(T94:T99,"VP")</f>
        <v>0</v>
      </c>
      <c r="U100" s="21"/>
    </row>
    <row r="101" spans="1:21" ht="17.25" customHeight="1">
      <c r="A101" s="117" t="s">
        <v>64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9"/>
    </row>
    <row r="102" spans="1:21">
      <c r="A102" s="32" t="str">
        <f>IF(ISNA(INDEX($A$34:$U$87,MATCH($B102,$B$34:$B$87,0),1)),"",INDEX($A$34:$U$87,MATCH($B102,$B$34:$B$87,0),1))</f>
        <v/>
      </c>
      <c r="B102" s="164"/>
      <c r="C102" s="164"/>
      <c r="D102" s="164"/>
      <c r="E102" s="164"/>
      <c r="F102" s="164"/>
      <c r="G102" s="164"/>
      <c r="H102" s="164"/>
      <c r="I102" s="164"/>
      <c r="J102" s="20" t="str">
        <f>IF(ISNA(INDEX($A$34:$U$87,MATCH($B102,$B$34:$B$87,0),10)),"",INDEX($A$34:$U$87,MATCH($B102,$B$34:$B$87,0),10))</f>
        <v/>
      </c>
      <c r="K102" s="20" t="str">
        <f>IF(ISNA(INDEX($A$34:$U$87,MATCH($B102,$B$34:$B$87,0),11)),"",INDEX($A$34:$U$87,MATCH($B102,$B$34:$B$87,0),11))</f>
        <v/>
      </c>
      <c r="L102" s="20" t="str">
        <f>IF(ISNA(INDEX($A$34:$U$87,MATCH($B102,$B$34:$B$87,0),12)),"",INDEX($A$34:$U$87,MATCH($B102,$B$34:$B$87,0),12))</f>
        <v/>
      </c>
      <c r="M102" s="20" t="str">
        <f>IF(ISNA(INDEX($A$34:$U$87,MATCH($B102,$B$34:$B$87,0),13)),"",INDEX($A$34:$U$87,MATCH($B102,$B$34:$B$87,0),13))</f>
        <v/>
      </c>
      <c r="N102" s="20" t="str">
        <f>IF(ISNA(INDEX($A$34:$U$87,MATCH($B102,$B$34:$B$87,0),14)),"",INDEX($A$34:$U$87,MATCH($B102,$B$34:$B$87,0),14))</f>
        <v/>
      </c>
      <c r="O102" s="20" t="str">
        <f>IF(ISNA(INDEX($A$34:$U$87,MATCH($B102,$B$34:$B$87,0),15)),"",INDEX($A$34:$U$87,MATCH($B102,$B$34:$B$87,0),15))</f>
        <v/>
      </c>
      <c r="P102" s="20" t="str">
        <f>IF(ISNA(INDEX($A$34:$U$87,MATCH($B102,$B$34:$B$87,0),16)),"",INDEX($A$34:$U$87,MATCH($B102,$B$34:$B$87,0),16))</f>
        <v/>
      </c>
      <c r="Q102" s="20" t="str">
        <f>IF(ISNA(INDEX($A$34:$U$87,MATCH($B102,$B$34:$B$87,0),17)),"",INDEX($A$34:$U$87,MATCH($B102,$B$34:$B$87,0),17))</f>
        <v/>
      </c>
      <c r="R102" s="30" t="str">
        <f>IF(ISNA(INDEX($A$34:$U$87,MATCH($B102,$B$34:$B$87,0),18)),"",INDEX($A$34:$U$87,MATCH($B102,$B$34:$B$87,0),18))</f>
        <v/>
      </c>
      <c r="S102" s="30" t="str">
        <f>IF(ISNA(INDEX($A$34:$U$87,MATCH($B102,$B$34:$B$87,0),19)),"",INDEX($A$34:$U$87,MATCH($B102,$B$34:$B$87,0),19))</f>
        <v/>
      </c>
      <c r="T102" s="30" t="str">
        <f>IF(ISNA(INDEX($A$34:$U$87,MATCH($B102,$B$34:$B$87,0),20)),"",INDEX($A$34:$U$87,MATCH($B102,$B$34:$B$87,0),20))</f>
        <v/>
      </c>
      <c r="U102" s="21" t="s">
        <v>36</v>
      </c>
    </row>
    <row r="103" spans="1:21">
      <c r="A103" s="22" t="s">
        <v>25</v>
      </c>
      <c r="B103" s="141"/>
      <c r="C103" s="141"/>
      <c r="D103" s="141"/>
      <c r="E103" s="141"/>
      <c r="F103" s="141"/>
      <c r="G103" s="141"/>
      <c r="H103" s="141"/>
      <c r="I103" s="141"/>
      <c r="J103" s="24">
        <f t="shared" ref="J103:Q103" si="38">SUM(J102:J102)</f>
        <v>0</v>
      </c>
      <c r="K103" s="24">
        <f t="shared" si="38"/>
        <v>0</v>
      </c>
      <c r="L103" s="24">
        <f t="shared" si="38"/>
        <v>0</v>
      </c>
      <c r="M103" s="24">
        <f t="shared" si="38"/>
        <v>0</v>
      </c>
      <c r="N103" s="24">
        <f t="shared" si="38"/>
        <v>0</v>
      </c>
      <c r="O103" s="24">
        <f t="shared" si="38"/>
        <v>0</v>
      </c>
      <c r="P103" s="24">
        <f t="shared" si="38"/>
        <v>0</v>
      </c>
      <c r="Q103" s="24">
        <f t="shared" si="38"/>
        <v>0</v>
      </c>
      <c r="R103" s="22">
        <f>COUNTIF(R102:R102,"E")</f>
        <v>0</v>
      </c>
      <c r="S103" s="22">
        <f>COUNTIF(S102:S102,"C")</f>
        <v>0</v>
      </c>
      <c r="T103" s="22">
        <f>COUNTIF(T102:T102,"VP")</f>
        <v>0</v>
      </c>
      <c r="U103" s="23"/>
    </row>
    <row r="104" spans="1:21" ht="27" customHeight="1">
      <c r="A104" s="142" t="s">
        <v>48</v>
      </c>
      <c r="B104" s="143"/>
      <c r="C104" s="143"/>
      <c r="D104" s="143"/>
      <c r="E104" s="143"/>
      <c r="F104" s="143"/>
      <c r="G104" s="143"/>
      <c r="H104" s="143"/>
      <c r="I104" s="144"/>
      <c r="J104" s="24">
        <f t="shared" ref="J104:T104" si="39">SUM(J100,J103)</f>
        <v>43</v>
      </c>
      <c r="K104" s="24">
        <f t="shared" si="39"/>
        <v>12</v>
      </c>
      <c r="L104" s="24">
        <f t="shared" si="39"/>
        <v>6</v>
      </c>
      <c r="M104" s="24">
        <f t="shared" si="39"/>
        <v>0</v>
      </c>
      <c r="N104" s="24">
        <f t="shared" si="39"/>
        <v>10</v>
      </c>
      <c r="O104" s="24">
        <f t="shared" si="39"/>
        <v>28</v>
      </c>
      <c r="P104" s="24">
        <f t="shared" si="39"/>
        <v>50</v>
      </c>
      <c r="Q104" s="24">
        <f t="shared" si="39"/>
        <v>78</v>
      </c>
      <c r="R104" s="24">
        <f t="shared" si="39"/>
        <v>5</v>
      </c>
      <c r="S104" s="24">
        <f t="shared" si="39"/>
        <v>1</v>
      </c>
      <c r="T104" s="24">
        <f t="shared" si="39"/>
        <v>0</v>
      </c>
      <c r="U104" s="74">
        <f>J104/(J104+J125)</f>
        <v>0.35833333333333334</v>
      </c>
    </row>
    <row r="105" spans="1:21">
      <c r="A105" s="151" t="s">
        <v>49</v>
      </c>
      <c r="B105" s="152"/>
      <c r="C105" s="152"/>
      <c r="D105" s="152"/>
      <c r="E105" s="152"/>
      <c r="F105" s="152"/>
      <c r="G105" s="152"/>
      <c r="H105" s="152"/>
      <c r="I105" s="152"/>
      <c r="J105" s="153"/>
      <c r="K105" s="24">
        <f t="shared" ref="K105:Q105" si="40">K100*14+K103*12</f>
        <v>168</v>
      </c>
      <c r="L105" s="24">
        <f t="shared" si="40"/>
        <v>84</v>
      </c>
      <c r="M105" s="24">
        <f t="shared" si="40"/>
        <v>0</v>
      </c>
      <c r="N105" s="24">
        <f t="shared" si="40"/>
        <v>140</v>
      </c>
      <c r="O105" s="24">
        <f t="shared" si="40"/>
        <v>392</v>
      </c>
      <c r="P105" s="24">
        <f t="shared" si="40"/>
        <v>700</v>
      </c>
      <c r="Q105" s="24">
        <f t="shared" si="40"/>
        <v>1092</v>
      </c>
      <c r="R105" s="157"/>
      <c r="S105" s="158"/>
      <c r="T105" s="158"/>
      <c r="U105" s="159"/>
    </row>
    <row r="106" spans="1:21">
      <c r="A106" s="154"/>
      <c r="B106" s="155"/>
      <c r="C106" s="155"/>
      <c r="D106" s="155"/>
      <c r="E106" s="155"/>
      <c r="F106" s="155"/>
      <c r="G106" s="155"/>
      <c r="H106" s="155"/>
      <c r="I106" s="155"/>
      <c r="J106" s="156"/>
      <c r="K106" s="145">
        <f>SUM(K105:N105)</f>
        <v>392</v>
      </c>
      <c r="L106" s="146"/>
      <c r="M106" s="146"/>
      <c r="N106" s="147"/>
      <c r="O106" s="148">
        <f>SUM(O105:P105)</f>
        <v>1092</v>
      </c>
      <c r="P106" s="149"/>
      <c r="Q106" s="150"/>
      <c r="R106" s="160"/>
      <c r="S106" s="161"/>
      <c r="T106" s="161"/>
      <c r="U106" s="162"/>
    </row>
    <row r="107" spans="1:21" ht="30" customHeight="1"/>
    <row r="108" spans="1:21" ht="23.25" customHeight="1">
      <c r="A108" s="141" t="s">
        <v>69</v>
      </c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</row>
    <row r="109" spans="1:21" ht="26.25" customHeight="1">
      <c r="A109" s="141" t="s">
        <v>27</v>
      </c>
      <c r="B109" s="141" t="s">
        <v>26</v>
      </c>
      <c r="C109" s="141"/>
      <c r="D109" s="141"/>
      <c r="E109" s="141"/>
      <c r="F109" s="141"/>
      <c r="G109" s="141"/>
      <c r="H109" s="141"/>
      <c r="I109" s="141"/>
      <c r="J109" s="116" t="s">
        <v>40</v>
      </c>
      <c r="K109" s="116" t="s">
        <v>24</v>
      </c>
      <c r="L109" s="116"/>
      <c r="M109" s="116"/>
      <c r="N109" s="116"/>
      <c r="O109" s="116" t="s">
        <v>41</v>
      </c>
      <c r="P109" s="116"/>
      <c r="Q109" s="116"/>
      <c r="R109" s="116" t="s">
        <v>23</v>
      </c>
      <c r="S109" s="116"/>
      <c r="T109" s="116"/>
      <c r="U109" s="116" t="s">
        <v>22</v>
      </c>
    </row>
    <row r="110" spans="1:21">
      <c r="A110" s="141"/>
      <c r="B110" s="141"/>
      <c r="C110" s="141"/>
      <c r="D110" s="141"/>
      <c r="E110" s="141"/>
      <c r="F110" s="141"/>
      <c r="G110" s="141"/>
      <c r="H110" s="141"/>
      <c r="I110" s="141"/>
      <c r="J110" s="116"/>
      <c r="K110" s="31" t="s">
        <v>28</v>
      </c>
      <c r="L110" s="31" t="s">
        <v>29</v>
      </c>
      <c r="M110" s="54" t="s">
        <v>97</v>
      </c>
      <c r="N110" s="31" t="s">
        <v>98</v>
      </c>
      <c r="O110" s="31" t="s">
        <v>33</v>
      </c>
      <c r="P110" s="31" t="s">
        <v>7</v>
      </c>
      <c r="Q110" s="31" t="s">
        <v>30</v>
      </c>
      <c r="R110" s="31" t="s">
        <v>31</v>
      </c>
      <c r="S110" s="31" t="s">
        <v>28</v>
      </c>
      <c r="T110" s="31" t="s">
        <v>32</v>
      </c>
      <c r="U110" s="116"/>
    </row>
    <row r="111" spans="1:21" ht="18.75" customHeight="1">
      <c r="A111" s="117" t="s">
        <v>63</v>
      </c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9"/>
    </row>
    <row r="112" spans="1:21">
      <c r="A112" s="32" t="str">
        <f t="shared" ref="A112:A117" si="41">IF(ISNA(INDEX($A$34:$U$87,MATCH($B112,$B$34:$B$87,0),1)),"",INDEX($A$34:$U$87,MATCH($B112,$B$34:$B$87,0),1))</f>
        <v>MMM8061</v>
      </c>
      <c r="B112" s="138" t="s">
        <v>105</v>
      </c>
      <c r="C112" s="139"/>
      <c r="D112" s="139"/>
      <c r="E112" s="139"/>
      <c r="F112" s="139"/>
      <c r="G112" s="139"/>
      <c r="H112" s="139"/>
      <c r="I112" s="140"/>
      <c r="J112" s="20">
        <f t="shared" ref="J112:J117" si="42">IF(ISNA(INDEX($A$34:$U$87,MATCH($B112,$B$34:$B$87,0),10)),"",INDEX($A$34:$U$87,MATCH($B112,$B$34:$B$87,0),10))</f>
        <v>8</v>
      </c>
      <c r="K112" s="20">
        <f t="shared" ref="K112:K117" si="43">IF(ISNA(INDEX($A$34:$U$87,MATCH($B112,$B$34:$B$87,0),11)),"",INDEX($A$34:$U$87,MATCH($B112,$B$34:$B$87,0),11))</f>
        <v>2</v>
      </c>
      <c r="L112" s="20">
        <f t="shared" ref="L112:L117" si="44">IF(ISNA(INDEX($A$34:$U$87,MATCH($B112,$B$34:$B$87,0),12)),"",INDEX($A$34:$U$87,MATCH($B112,$B$34:$B$87,0),12))</f>
        <v>1</v>
      </c>
      <c r="M112" s="20">
        <f t="shared" ref="M112:M117" si="45">IF(ISNA(INDEX($A$34:$U$87,MATCH($B112,$B$34:$B$87,0),13)),"",INDEX($A$34:$U$87,MATCH($B112,$B$34:$B$87,0),13))</f>
        <v>0</v>
      </c>
      <c r="N112" s="20">
        <f t="shared" ref="N112:N117" si="46">IF(ISNA(INDEX($A$34:$U$87,MATCH($B112,$B$34:$B$87,0),14)),"",INDEX($A$34:$U$87,MATCH($B112,$B$34:$B$87,0),14))</f>
        <v>2</v>
      </c>
      <c r="O112" s="20">
        <f t="shared" ref="O112:O117" si="47">IF(ISNA(INDEX($A$34:$U$87,MATCH($B112,$B$34:$B$87,0),15)),"",INDEX($A$34:$U$87,MATCH($B112,$B$34:$B$87,0),15))</f>
        <v>5</v>
      </c>
      <c r="P112" s="20">
        <f t="shared" ref="P112:P117" si="48">IF(ISNA(INDEX($A$34:$U$87,MATCH($B112,$B$34:$B$87,0),16)),"",INDEX($A$34:$U$87,MATCH($B112,$B$34:$B$87,0),16))</f>
        <v>9</v>
      </c>
      <c r="Q112" s="20">
        <f t="shared" ref="Q112:Q117" si="49">IF(ISNA(INDEX($A$34:$U$87,MATCH($B112,$B$34:$B$87,0),17)),"",INDEX($A$34:$U$87,MATCH($B112,$B$34:$B$87,0),17))</f>
        <v>14</v>
      </c>
      <c r="R112" s="30" t="str">
        <f t="shared" ref="R112:R117" si="50">IF(ISNA(INDEX($A$34:$U$87,MATCH($B112,$B$34:$B$87,0),18)),"",INDEX($A$34:$U$87,MATCH($B112,$B$34:$B$87,0),18))</f>
        <v>E</v>
      </c>
      <c r="S112" s="30">
        <f t="shared" ref="S112:S117" si="51">IF(ISNA(INDEX($A$34:$U$87,MATCH($B112,$B$34:$B$87,0),19)),"",INDEX($A$34:$U$87,MATCH($B112,$B$34:$B$87,0),19))</f>
        <v>0</v>
      </c>
      <c r="T112" s="30">
        <f t="shared" ref="T112:T117" si="52">IF(ISNA(INDEX($A$34:$U$87,MATCH($B112,$B$34:$B$87,0),20)),"",INDEX($A$34:$U$87,MATCH($B112,$B$34:$B$87,0),20))</f>
        <v>0</v>
      </c>
      <c r="U112" s="19" t="s">
        <v>38</v>
      </c>
    </row>
    <row r="113" spans="1:21">
      <c r="A113" s="32" t="str">
        <f t="shared" si="41"/>
        <v>MMM8062</v>
      </c>
      <c r="B113" s="138" t="s">
        <v>107</v>
      </c>
      <c r="C113" s="139"/>
      <c r="D113" s="139"/>
      <c r="E113" s="139"/>
      <c r="F113" s="139"/>
      <c r="G113" s="139"/>
      <c r="H113" s="139"/>
      <c r="I113" s="140"/>
      <c r="J113" s="20">
        <f t="shared" si="42"/>
        <v>8</v>
      </c>
      <c r="K113" s="20">
        <f t="shared" si="43"/>
        <v>2</v>
      </c>
      <c r="L113" s="20">
        <f t="shared" si="44"/>
        <v>1</v>
      </c>
      <c r="M113" s="20">
        <f t="shared" si="45"/>
        <v>0</v>
      </c>
      <c r="N113" s="20">
        <f t="shared" si="46"/>
        <v>2</v>
      </c>
      <c r="O113" s="20">
        <f t="shared" si="47"/>
        <v>5</v>
      </c>
      <c r="P113" s="20">
        <f t="shared" si="48"/>
        <v>9</v>
      </c>
      <c r="Q113" s="20">
        <f t="shared" si="49"/>
        <v>14</v>
      </c>
      <c r="R113" s="30" t="str">
        <f t="shared" si="50"/>
        <v>E</v>
      </c>
      <c r="S113" s="30">
        <f t="shared" si="51"/>
        <v>0</v>
      </c>
      <c r="T113" s="30">
        <f t="shared" si="52"/>
        <v>0</v>
      </c>
      <c r="U113" s="19" t="s">
        <v>38</v>
      </c>
    </row>
    <row r="114" spans="1:21" ht="27.75" customHeight="1">
      <c r="A114" s="32" t="str">
        <f t="shared" si="41"/>
        <v>MMM8146</v>
      </c>
      <c r="B114" s="168" t="s">
        <v>113</v>
      </c>
      <c r="C114" s="169"/>
      <c r="D114" s="169"/>
      <c r="E114" s="169"/>
      <c r="F114" s="169"/>
      <c r="G114" s="169"/>
      <c r="H114" s="169"/>
      <c r="I114" s="170"/>
      <c r="J114" s="20">
        <f t="shared" si="42"/>
        <v>8</v>
      </c>
      <c r="K114" s="20">
        <f t="shared" si="43"/>
        <v>2</v>
      </c>
      <c r="L114" s="20">
        <f t="shared" si="44"/>
        <v>1</v>
      </c>
      <c r="M114" s="20">
        <f t="shared" si="45"/>
        <v>0</v>
      </c>
      <c r="N114" s="20">
        <f t="shared" si="46"/>
        <v>2</v>
      </c>
      <c r="O114" s="20">
        <f t="shared" si="47"/>
        <v>5</v>
      </c>
      <c r="P114" s="20">
        <f t="shared" si="48"/>
        <v>9</v>
      </c>
      <c r="Q114" s="20">
        <f t="shared" si="49"/>
        <v>14</v>
      </c>
      <c r="R114" s="30" t="str">
        <f t="shared" si="50"/>
        <v>E</v>
      </c>
      <c r="S114" s="30">
        <f t="shared" si="51"/>
        <v>0</v>
      </c>
      <c r="T114" s="30">
        <f t="shared" si="52"/>
        <v>0</v>
      </c>
      <c r="U114" s="19" t="s">
        <v>38</v>
      </c>
    </row>
    <row r="115" spans="1:21">
      <c r="A115" s="32" t="str">
        <f t="shared" si="41"/>
        <v>MME8072</v>
      </c>
      <c r="B115" s="138" t="s">
        <v>121</v>
      </c>
      <c r="C115" s="139"/>
      <c r="D115" s="139"/>
      <c r="E115" s="139"/>
      <c r="F115" s="139"/>
      <c r="G115" s="139"/>
      <c r="H115" s="139"/>
      <c r="I115" s="140"/>
      <c r="J115" s="20">
        <f t="shared" si="42"/>
        <v>8</v>
      </c>
      <c r="K115" s="20">
        <f t="shared" si="43"/>
        <v>2</v>
      </c>
      <c r="L115" s="20">
        <f t="shared" si="44"/>
        <v>1</v>
      </c>
      <c r="M115" s="20">
        <f t="shared" si="45"/>
        <v>0</v>
      </c>
      <c r="N115" s="20">
        <f t="shared" si="46"/>
        <v>2</v>
      </c>
      <c r="O115" s="20">
        <f t="shared" si="47"/>
        <v>5</v>
      </c>
      <c r="P115" s="20">
        <f t="shared" si="48"/>
        <v>9</v>
      </c>
      <c r="Q115" s="20">
        <f t="shared" si="49"/>
        <v>14</v>
      </c>
      <c r="R115" s="30" t="str">
        <f t="shared" si="50"/>
        <v>E</v>
      </c>
      <c r="S115" s="30">
        <f t="shared" si="51"/>
        <v>0</v>
      </c>
      <c r="T115" s="30">
        <f t="shared" si="52"/>
        <v>0</v>
      </c>
      <c r="U115" s="19" t="s">
        <v>38</v>
      </c>
    </row>
    <row r="116" spans="1:21">
      <c r="A116" s="32" t="str">
        <f t="shared" si="41"/>
        <v>MMM8066</v>
      </c>
      <c r="B116" s="138" t="s">
        <v>123</v>
      </c>
      <c r="C116" s="139"/>
      <c r="D116" s="139"/>
      <c r="E116" s="139"/>
      <c r="F116" s="139"/>
      <c r="G116" s="139"/>
      <c r="H116" s="139"/>
      <c r="I116" s="140"/>
      <c r="J116" s="20">
        <f t="shared" si="42"/>
        <v>8</v>
      </c>
      <c r="K116" s="20">
        <f t="shared" si="43"/>
        <v>2</v>
      </c>
      <c r="L116" s="20">
        <f t="shared" si="44"/>
        <v>1</v>
      </c>
      <c r="M116" s="20">
        <f t="shared" si="45"/>
        <v>0</v>
      </c>
      <c r="N116" s="20">
        <f t="shared" si="46"/>
        <v>2</v>
      </c>
      <c r="O116" s="20">
        <f t="shared" si="47"/>
        <v>5</v>
      </c>
      <c r="P116" s="20">
        <f t="shared" si="48"/>
        <v>9</v>
      </c>
      <c r="Q116" s="20">
        <f t="shared" si="49"/>
        <v>14</v>
      </c>
      <c r="R116" s="30" t="str">
        <f t="shared" si="50"/>
        <v>E</v>
      </c>
      <c r="S116" s="30">
        <f t="shared" si="51"/>
        <v>0</v>
      </c>
      <c r="T116" s="30">
        <f t="shared" si="52"/>
        <v>0</v>
      </c>
      <c r="U116" s="19" t="s">
        <v>38</v>
      </c>
    </row>
    <row r="117" spans="1:21">
      <c r="A117" s="32" t="str">
        <f t="shared" si="41"/>
        <v>MMX9902</v>
      </c>
      <c r="B117" s="138" t="s">
        <v>127</v>
      </c>
      <c r="C117" s="139"/>
      <c r="D117" s="139"/>
      <c r="E117" s="139"/>
      <c r="F117" s="139"/>
      <c r="G117" s="139"/>
      <c r="H117" s="139"/>
      <c r="I117" s="140"/>
      <c r="J117" s="20">
        <f t="shared" si="42"/>
        <v>7</v>
      </c>
      <c r="K117" s="20">
        <f t="shared" si="43"/>
        <v>2</v>
      </c>
      <c r="L117" s="20">
        <f t="shared" si="44"/>
        <v>1</v>
      </c>
      <c r="M117" s="20">
        <f t="shared" si="45"/>
        <v>0</v>
      </c>
      <c r="N117" s="20">
        <f t="shared" si="46"/>
        <v>2</v>
      </c>
      <c r="O117" s="20">
        <f t="shared" si="47"/>
        <v>5</v>
      </c>
      <c r="P117" s="20">
        <f t="shared" si="48"/>
        <v>8</v>
      </c>
      <c r="Q117" s="20">
        <f t="shared" si="49"/>
        <v>13</v>
      </c>
      <c r="R117" s="30" t="str">
        <f t="shared" si="50"/>
        <v>E</v>
      </c>
      <c r="S117" s="30">
        <f t="shared" si="51"/>
        <v>0</v>
      </c>
      <c r="T117" s="30">
        <f t="shared" si="52"/>
        <v>0</v>
      </c>
      <c r="U117" s="19" t="s">
        <v>38</v>
      </c>
    </row>
    <row r="118" spans="1:21">
      <c r="A118" s="22" t="s">
        <v>25</v>
      </c>
      <c r="B118" s="165"/>
      <c r="C118" s="166"/>
      <c r="D118" s="166"/>
      <c r="E118" s="166"/>
      <c r="F118" s="166"/>
      <c r="G118" s="166"/>
      <c r="H118" s="166"/>
      <c r="I118" s="167"/>
      <c r="J118" s="24">
        <f t="shared" ref="J118:Q118" si="53">SUM(J112:J117)</f>
        <v>47</v>
      </c>
      <c r="K118" s="24">
        <f t="shared" si="53"/>
        <v>12</v>
      </c>
      <c r="L118" s="24">
        <f t="shared" si="53"/>
        <v>6</v>
      </c>
      <c r="M118" s="24">
        <f t="shared" si="53"/>
        <v>0</v>
      </c>
      <c r="N118" s="24">
        <f t="shared" si="53"/>
        <v>12</v>
      </c>
      <c r="O118" s="24">
        <f t="shared" si="53"/>
        <v>30</v>
      </c>
      <c r="P118" s="24">
        <f t="shared" si="53"/>
        <v>53</v>
      </c>
      <c r="Q118" s="24">
        <f t="shared" si="53"/>
        <v>83</v>
      </c>
      <c r="R118" s="22">
        <f>COUNTIF(R112:R117,"E")</f>
        <v>6</v>
      </c>
      <c r="S118" s="22">
        <f>COUNTIF(S112:S117,"C")</f>
        <v>0</v>
      </c>
      <c r="T118" s="22">
        <f>COUNTIF(T112:T117,"VP")</f>
        <v>0</v>
      </c>
      <c r="U118" s="19"/>
    </row>
    <row r="119" spans="1:21" ht="18" customHeight="1">
      <c r="A119" s="117" t="s">
        <v>65</v>
      </c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9"/>
    </row>
    <row r="120" spans="1:21">
      <c r="A120" s="32" t="str">
        <f>IF(ISNA(INDEX($A$34:$U$87,MATCH($B120,$B$34:$B$87,0),1)),"",INDEX($A$34:$U$87,MATCH($B120,$B$34:$B$87,0),1))</f>
        <v>MMX9916</v>
      </c>
      <c r="B120" s="138" t="s">
        <v>145</v>
      </c>
      <c r="C120" s="139"/>
      <c r="D120" s="139"/>
      <c r="E120" s="139"/>
      <c r="F120" s="139"/>
      <c r="G120" s="139"/>
      <c r="H120" s="139"/>
      <c r="I120" s="140"/>
      <c r="J120" s="20">
        <f>IF(ISNA(INDEX($A$34:$U$87,MATCH($B120,$B$34:$B$87,0),10)),"",INDEX($A$34:$U$87,MATCH($B120,$B$34:$B$87,0),10))</f>
        <v>22</v>
      </c>
      <c r="K120" s="20">
        <f>IF(ISNA(INDEX($A$34:$U$87,MATCH($B120,$B$34:$B$87,0),11)),"",INDEX($A$34:$U$87,MATCH($B120,$B$34:$B$87,0),11))</f>
        <v>0</v>
      </c>
      <c r="L120" s="20">
        <f>IF(ISNA(INDEX($A$34:$U$87,MATCH($B120,$B$34:$B$87,0),12)),"",INDEX($A$34:$U$87,MATCH($B120,$B$34:$B$87,0),12))</f>
        <v>0</v>
      </c>
      <c r="M120" s="20">
        <f>IF(ISNA(INDEX($A$34:$U$87,MATCH($B120,$B$34:$B$87,0),13)),"",INDEX($A$34:$U$87,MATCH($B120,$B$34:$B$87,0),13))</f>
        <v>0</v>
      </c>
      <c r="N120" s="20">
        <f>IF(ISNA(INDEX($A$34:$U$87,MATCH($B120,$B$34:$B$87,0),14)),"",INDEX($A$34:$U$87,MATCH($B120,$B$34:$B$87,0),14))</f>
        <v>20</v>
      </c>
      <c r="O120" s="20">
        <f>IF(ISNA(INDEX($A$34:$U$87,MATCH($B120,$B$34:$B$87,0),15)),"",INDEX($A$34:$U$87,MATCH($B120,$B$34:$B$87,0),15))</f>
        <v>20</v>
      </c>
      <c r="P120" s="20">
        <f>IF(ISNA(INDEX($A$34:$U$87,MATCH($B120,$B$34:$B$87,0),16)),"",INDEX($A$34:$U$87,MATCH($B120,$B$34:$B$87,0),16))</f>
        <v>26</v>
      </c>
      <c r="Q120" s="20">
        <f>IF(ISNA(INDEX($A$34:$U$87,MATCH($B120,$B$34:$B$87,0),17)),"",INDEX($A$34:$U$87,MATCH($B120,$B$34:$B$87,0),17))</f>
        <v>46</v>
      </c>
      <c r="R120" s="30">
        <f>IF(ISNA(INDEX($A$34:$U$87,MATCH($B120,$B$34:$B$87,0),18)),"",INDEX($A$34:$U$87,MATCH($B120,$B$34:$B$87,0),18))</f>
        <v>0</v>
      </c>
      <c r="S120" s="30" t="str">
        <f>IF(ISNA(INDEX($A$34:$U$87,MATCH($B120,$B$34:$B$87,0),19)),"",INDEX($A$34:$U$87,MATCH($B120,$B$34:$B$87,0),19))</f>
        <v>C</v>
      </c>
      <c r="T120" s="30">
        <f>IF(ISNA(INDEX($A$34:$U$87,MATCH($B120,$B$34:$B$87,0),20)),"",INDEX($A$34:$U$87,MATCH($B120,$B$34:$B$87,0),20))</f>
        <v>0</v>
      </c>
      <c r="U120" s="19" t="s">
        <v>38</v>
      </c>
    </row>
    <row r="121" spans="1:21">
      <c r="A121" s="32" t="str">
        <f>IF(ISNA(INDEX($A$34:$U$87,MATCH($B121,$B$34:$B$87,0),1)),"",INDEX($A$34:$U$87,MATCH($B121,$B$34:$B$87,0),1))</f>
        <v>MMM9009</v>
      </c>
      <c r="B121" s="138" t="s">
        <v>130</v>
      </c>
      <c r="C121" s="139"/>
      <c r="D121" s="139"/>
      <c r="E121" s="139"/>
      <c r="F121" s="139"/>
      <c r="G121" s="139"/>
      <c r="H121" s="139"/>
      <c r="I121" s="140"/>
      <c r="J121" s="20">
        <f>IF(ISNA(INDEX($A$34:$U$87,MATCH($B121,$B$34:$B$87,0),10)),"",INDEX($A$34:$U$87,MATCH($B121,$B$34:$B$87,0),10))</f>
        <v>4</v>
      </c>
      <c r="K121" s="20">
        <f>IF(ISNA(INDEX($A$34:$U$87,MATCH($B121,$B$34:$B$87,0),11)),"",INDEX($A$34:$U$87,MATCH($B121,$B$34:$B$87,0),11))</f>
        <v>0</v>
      </c>
      <c r="L121" s="20">
        <f>IF(ISNA(INDEX($A$34:$U$87,MATCH($B121,$B$34:$B$87,0),12)),"",INDEX($A$34:$U$87,MATCH($B121,$B$34:$B$87,0),12))</f>
        <v>0</v>
      </c>
      <c r="M121" s="20">
        <f>IF(ISNA(INDEX($A$34:$U$87,MATCH($B121,$B$34:$B$87,0),13)),"",INDEX($A$34:$U$87,MATCH($B121,$B$34:$B$87,0),13))</f>
        <v>1</v>
      </c>
      <c r="N121" s="20">
        <f>IF(ISNA(INDEX($A$34:$U$87,MATCH($B121,$B$34:$B$87,0),14)),"",INDEX($A$34:$U$87,MATCH($B121,$B$34:$B$87,0),14))</f>
        <v>2</v>
      </c>
      <c r="O121" s="20">
        <f>IF(ISNA(INDEX($A$34:$U$87,MATCH($B121,$B$34:$B$87,0),15)),"",INDEX($A$34:$U$87,MATCH($B121,$B$34:$B$87,0),15))</f>
        <v>3</v>
      </c>
      <c r="P121" s="20">
        <f>IF(ISNA(INDEX($A$34:$U$87,MATCH($B121,$B$34:$B$87,0),16)),"",INDEX($A$34:$U$87,MATCH($B121,$B$34:$B$87,0),16))</f>
        <v>5</v>
      </c>
      <c r="Q121" s="20">
        <f>IF(ISNA(INDEX($A$34:$U$87,MATCH($B121,$B$34:$B$87,0),17)),"",INDEX($A$34:$U$87,MATCH($B121,$B$34:$B$87,0),17))</f>
        <v>8</v>
      </c>
      <c r="R121" s="30">
        <f>IF(ISNA(INDEX($A$34:$U$87,MATCH($B121,$B$34:$B$87,0),18)),"",INDEX($A$34:$U$87,MATCH($B121,$B$34:$B$87,0),18))</f>
        <v>0</v>
      </c>
      <c r="S121" s="30" t="str">
        <f>IF(ISNA(INDEX($A$34:$U$87,MATCH($B121,$B$34:$B$87,0),19)),"",INDEX($A$34:$U$87,MATCH($B121,$B$34:$B$87,0),19))</f>
        <v>C</v>
      </c>
      <c r="T121" s="30">
        <f>IF(ISNA(INDEX($A$34:$U$87,MATCH($B121,$B$34:$B$87,0),20)),"",INDEX($A$34:$U$87,MATCH($B121,$B$34:$B$87,0),20))</f>
        <v>0</v>
      </c>
      <c r="U121" s="19" t="s">
        <v>38</v>
      </c>
    </row>
    <row r="122" spans="1:21">
      <c r="A122" s="32" t="str">
        <f>IF(ISNA(INDEX($A$34:$U$87,MATCH($B122,$B$34:$B$87,0),1)),"",INDEX($A$34:$U$87,MATCH($B122,$B$34:$B$87,0),1))</f>
        <v>MMM3402</v>
      </c>
      <c r="B122" s="138" t="s">
        <v>141</v>
      </c>
      <c r="C122" s="139"/>
      <c r="D122" s="139"/>
      <c r="E122" s="139"/>
      <c r="F122" s="139"/>
      <c r="G122" s="139"/>
      <c r="H122" s="139"/>
      <c r="I122" s="140"/>
      <c r="J122" s="20">
        <f>IF(ISNA(INDEX($A$34:$U$87,MATCH($B122,$B$34:$B$87,0),10)),"",INDEX($A$34:$U$87,MATCH($B122,$B$34:$B$87,0),10))</f>
        <v>4</v>
      </c>
      <c r="K122" s="20">
        <f>IF(ISNA(INDEX($A$34:$U$87,MATCH($B122,$B$34:$B$87,0),11)),"",INDEX($A$34:$U$87,MATCH($B122,$B$34:$B$87,0),11))</f>
        <v>0</v>
      </c>
      <c r="L122" s="20">
        <f>IF(ISNA(INDEX($A$34:$U$87,MATCH($B122,$B$34:$B$87,0),12)),"",INDEX($A$34:$U$87,MATCH($B122,$B$34:$B$87,0),12))</f>
        <v>0</v>
      </c>
      <c r="M122" s="20">
        <f>IF(ISNA(INDEX($A$34:$U$87,MATCH($B122,$B$34:$B$87,0),13)),"",INDEX($A$34:$U$87,MATCH($B122,$B$34:$B$87,0),13))</f>
        <v>0</v>
      </c>
      <c r="N122" s="20">
        <f>IF(ISNA(INDEX($A$34:$U$87,MATCH($B122,$B$34:$B$87,0),14)),"",INDEX($A$34:$U$87,MATCH($B122,$B$34:$B$87,0),14))</f>
        <v>2</v>
      </c>
      <c r="O122" s="20">
        <f>IF(ISNA(INDEX($A$34:$U$87,MATCH($B122,$B$34:$B$87,0),15)),"",INDEX($A$34:$U$87,MATCH($B122,$B$34:$B$87,0),15))</f>
        <v>2</v>
      </c>
      <c r="P122" s="20">
        <f>IF(ISNA(INDEX($A$34:$U$87,MATCH($B122,$B$34:$B$87,0),16)),"",INDEX($A$34:$U$87,MATCH($B122,$B$34:$B$87,0),16))</f>
        <v>6</v>
      </c>
      <c r="Q122" s="20">
        <f>IF(ISNA(INDEX($A$34:$U$87,MATCH($B122,$B$34:$B$87,0),17)),"",INDEX($A$34:$U$87,MATCH($B122,$B$34:$B$87,0),17))</f>
        <v>8</v>
      </c>
      <c r="R122" s="30">
        <f>IF(ISNA(INDEX($A$34:$U$87,MATCH($B122,$B$34:$B$87,0),18)),"",INDEX($A$34:$U$87,MATCH($B122,$B$34:$B$87,0),18))</f>
        <v>0</v>
      </c>
      <c r="S122" s="30">
        <f>IF(ISNA(INDEX($A$34:$U$87,MATCH($B122,$B$34:$B$87,0),19)),"",INDEX($A$34:$U$87,MATCH($B122,$B$34:$B$87,0),19))</f>
        <v>0</v>
      </c>
      <c r="T122" s="30" t="str">
        <f>IF(ISNA(INDEX($A$34:$U$87,MATCH($B122,$B$34:$B$87,0),20)),"",INDEX($A$34:$U$87,MATCH($B122,$B$34:$B$87,0),20))</f>
        <v>VP</v>
      </c>
      <c r="U122" s="19" t="s">
        <v>38</v>
      </c>
    </row>
    <row r="123" spans="1:21">
      <c r="A123" s="32" t="str">
        <f>IF(ISNA(INDEX($A$34:$U$87,MATCH($B123,$B$34:$B$87,0),1)),"",INDEX($A$34:$U$87,MATCH($B123,$B$34:$B$87,0),1))</f>
        <v/>
      </c>
      <c r="B123" s="138"/>
      <c r="C123" s="139"/>
      <c r="D123" s="139"/>
      <c r="E123" s="139"/>
      <c r="F123" s="139"/>
      <c r="G123" s="139"/>
      <c r="H123" s="139"/>
      <c r="I123" s="140"/>
      <c r="J123" s="20" t="str">
        <f>IF(ISNA(INDEX($A$34:$U$87,MATCH($B123,$B$34:$B$87,0),10)),"",INDEX($A$34:$U$87,MATCH($B123,$B$34:$B$87,0),10))</f>
        <v/>
      </c>
      <c r="K123" s="20" t="str">
        <f>IF(ISNA(INDEX($A$34:$U$87,MATCH($B123,$B$34:$B$87,0),11)),"",INDEX($A$34:$U$87,MATCH($B123,$B$34:$B$87,0),11))</f>
        <v/>
      </c>
      <c r="L123" s="20" t="str">
        <f>IF(ISNA(INDEX($A$34:$U$87,MATCH($B123,$B$34:$B$87,0),12)),"",INDEX($A$34:$U$87,MATCH($B123,$B$34:$B$87,0),12))</f>
        <v/>
      </c>
      <c r="M123" s="20" t="str">
        <f>IF(ISNA(INDEX($A$34:$U$87,MATCH($B123,$B$34:$B$87,0),13)),"",INDEX($A$34:$U$87,MATCH($B123,$B$34:$B$87,0),13))</f>
        <v/>
      </c>
      <c r="N123" s="20" t="str">
        <f>IF(ISNA(INDEX($A$34:$U$87,MATCH($B123,$B$34:$B$87,0),14)),"",INDEX($A$34:$U$87,MATCH($B123,$B$34:$B$87,0),14))</f>
        <v/>
      </c>
      <c r="O123" s="20" t="str">
        <f>IF(ISNA(INDEX($A$34:$U$87,MATCH($B123,$B$34:$B$87,0),15)),"",INDEX($A$34:$U$87,MATCH($B123,$B$34:$B$87,0),15))</f>
        <v/>
      </c>
      <c r="P123" s="20" t="str">
        <f>IF(ISNA(INDEX($A$34:$U$87,MATCH($B123,$B$34:$B$87,0),16)),"",INDEX($A$34:$U$87,MATCH($B123,$B$34:$B$87,0),16))</f>
        <v/>
      </c>
      <c r="Q123" s="20" t="str">
        <f>IF(ISNA(INDEX($A$34:$U$87,MATCH($B123,$B$34:$B$87,0),17)),"",INDEX($A$34:$U$87,MATCH($B123,$B$34:$B$87,0),17))</f>
        <v/>
      </c>
      <c r="R123" s="30" t="str">
        <f>IF(ISNA(INDEX($A$34:$U$87,MATCH($B123,$B$34:$B$87,0),18)),"",INDEX($A$34:$U$87,MATCH($B123,$B$34:$B$87,0),18))</f>
        <v/>
      </c>
      <c r="S123" s="30" t="str">
        <f>IF(ISNA(INDEX($A$34:$U$87,MATCH($B123,$B$34:$B$87,0),19)),"",INDEX($A$34:$U$87,MATCH($B123,$B$34:$B$87,0),19))</f>
        <v/>
      </c>
      <c r="T123" s="30" t="str">
        <f>IF(ISNA(INDEX($A$34:$U$87,MATCH($B123,$B$34:$B$87,0),20)),"",INDEX($A$34:$U$87,MATCH($B123,$B$34:$B$87,0),20))</f>
        <v/>
      </c>
      <c r="U123" s="19" t="s">
        <v>38</v>
      </c>
    </row>
    <row r="124" spans="1:21">
      <c r="A124" s="22" t="s">
        <v>25</v>
      </c>
      <c r="B124" s="141"/>
      <c r="C124" s="141"/>
      <c r="D124" s="141"/>
      <c r="E124" s="141"/>
      <c r="F124" s="141"/>
      <c r="G124" s="141"/>
      <c r="H124" s="141"/>
      <c r="I124" s="141"/>
      <c r="J124" s="24">
        <f t="shared" ref="J124:Q124" si="54">SUM(J120:J123)</f>
        <v>30</v>
      </c>
      <c r="K124" s="24">
        <f t="shared" si="54"/>
        <v>0</v>
      </c>
      <c r="L124" s="24">
        <f t="shared" si="54"/>
        <v>0</v>
      </c>
      <c r="M124" s="24">
        <f t="shared" si="54"/>
        <v>1</v>
      </c>
      <c r="N124" s="24">
        <f t="shared" si="54"/>
        <v>24</v>
      </c>
      <c r="O124" s="24">
        <f t="shared" si="54"/>
        <v>25</v>
      </c>
      <c r="P124" s="24">
        <f t="shared" si="54"/>
        <v>37</v>
      </c>
      <c r="Q124" s="24">
        <f t="shared" si="54"/>
        <v>62</v>
      </c>
      <c r="R124" s="22">
        <f>COUNTIF(R120:R123,"E")</f>
        <v>0</v>
      </c>
      <c r="S124" s="22">
        <f>COUNTIF(S120:S123,"C")</f>
        <v>2</v>
      </c>
      <c r="T124" s="22">
        <f>COUNTIF(T120:T123,"VP")</f>
        <v>1</v>
      </c>
      <c r="U124" s="23"/>
    </row>
    <row r="125" spans="1:21" ht="25.5" customHeight="1">
      <c r="A125" s="142" t="s">
        <v>48</v>
      </c>
      <c r="B125" s="143"/>
      <c r="C125" s="143"/>
      <c r="D125" s="143"/>
      <c r="E125" s="143"/>
      <c r="F125" s="143"/>
      <c r="G125" s="143"/>
      <c r="H125" s="143"/>
      <c r="I125" s="144"/>
      <c r="J125" s="24">
        <f t="shared" ref="J125:T125" si="55">SUM(J118,J124)</f>
        <v>77</v>
      </c>
      <c r="K125" s="24">
        <f t="shared" si="55"/>
        <v>12</v>
      </c>
      <c r="L125" s="24">
        <f t="shared" si="55"/>
        <v>6</v>
      </c>
      <c r="M125" s="24">
        <f t="shared" si="55"/>
        <v>1</v>
      </c>
      <c r="N125" s="24">
        <f t="shared" si="55"/>
        <v>36</v>
      </c>
      <c r="O125" s="24">
        <f t="shared" si="55"/>
        <v>55</v>
      </c>
      <c r="P125" s="24">
        <f t="shared" si="55"/>
        <v>90</v>
      </c>
      <c r="Q125" s="24">
        <f t="shared" si="55"/>
        <v>145</v>
      </c>
      <c r="R125" s="24">
        <f t="shared" si="55"/>
        <v>6</v>
      </c>
      <c r="S125" s="24">
        <f t="shared" si="55"/>
        <v>2</v>
      </c>
      <c r="T125" s="24">
        <f t="shared" si="55"/>
        <v>1</v>
      </c>
      <c r="U125" s="74">
        <f>1-U104</f>
        <v>0.64166666666666661</v>
      </c>
    </row>
    <row r="126" spans="1:21" ht="13.5" customHeight="1">
      <c r="A126" s="151" t="s">
        <v>49</v>
      </c>
      <c r="B126" s="152"/>
      <c r="C126" s="152"/>
      <c r="D126" s="152"/>
      <c r="E126" s="152"/>
      <c r="F126" s="152"/>
      <c r="G126" s="152"/>
      <c r="H126" s="152"/>
      <c r="I126" s="152"/>
      <c r="J126" s="153"/>
      <c r="K126" s="24">
        <f t="shared" ref="K126:Q126" si="56">K118*14+K124*12</f>
        <v>168</v>
      </c>
      <c r="L126" s="24">
        <f t="shared" si="56"/>
        <v>84</v>
      </c>
      <c r="M126" s="24">
        <f t="shared" si="56"/>
        <v>12</v>
      </c>
      <c r="N126" s="24">
        <f t="shared" si="56"/>
        <v>456</v>
      </c>
      <c r="O126" s="24">
        <f t="shared" si="56"/>
        <v>720</v>
      </c>
      <c r="P126" s="24">
        <f t="shared" si="56"/>
        <v>1186</v>
      </c>
      <c r="Q126" s="24">
        <f t="shared" si="56"/>
        <v>1906</v>
      </c>
      <c r="R126" s="157"/>
      <c r="S126" s="158"/>
      <c r="T126" s="158"/>
      <c r="U126" s="159"/>
    </row>
    <row r="127" spans="1:21" ht="16.5" customHeight="1">
      <c r="A127" s="154"/>
      <c r="B127" s="155"/>
      <c r="C127" s="155"/>
      <c r="D127" s="155"/>
      <c r="E127" s="155"/>
      <c r="F127" s="155"/>
      <c r="G127" s="155"/>
      <c r="H127" s="155"/>
      <c r="I127" s="155"/>
      <c r="J127" s="156"/>
      <c r="K127" s="145">
        <f>SUM(K126:N126)</f>
        <v>720</v>
      </c>
      <c r="L127" s="146"/>
      <c r="M127" s="146"/>
      <c r="N127" s="147"/>
      <c r="O127" s="148">
        <f>SUM(O126:P126)</f>
        <v>1906</v>
      </c>
      <c r="P127" s="149"/>
      <c r="Q127" s="150"/>
      <c r="R127" s="160"/>
      <c r="S127" s="161"/>
      <c r="T127" s="161"/>
      <c r="U127" s="162"/>
    </row>
    <row r="128" spans="1:21" ht="8.25" customHeight="1"/>
    <row r="129" spans="1:27">
      <c r="B129" s="2"/>
      <c r="C129" s="2"/>
      <c r="D129" s="2"/>
      <c r="E129" s="2"/>
      <c r="F129" s="2"/>
      <c r="G129" s="2"/>
      <c r="N129" s="8"/>
      <c r="O129" s="8"/>
      <c r="P129" s="8"/>
      <c r="Q129" s="8"/>
      <c r="R129" s="8"/>
      <c r="S129" s="8"/>
      <c r="T129" s="8"/>
    </row>
    <row r="130" spans="1:27">
      <c r="B130" s="8"/>
      <c r="C130" s="8"/>
      <c r="D130" s="8"/>
      <c r="E130" s="8"/>
      <c r="F130" s="8"/>
      <c r="G130" s="8"/>
      <c r="H130" s="17"/>
      <c r="I130" s="17"/>
      <c r="J130" s="17"/>
      <c r="N130" s="8"/>
      <c r="O130" s="8"/>
      <c r="P130" s="8"/>
      <c r="Q130" s="8"/>
      <c r="R130" s="8"/>
      <c r="S130" s="8"/>
      <c r="T130" s="8"/>
    </row>
    <row r="133" spans="1:27">
      <c r="A133" s="115" t="s">
        <v>60</v>
      </c>
      <c r="B133" s="115"/>
    </row>
    <row r="134" spans="1:27">
      <c r="A134" s="134" t="s">
        <v>27</v>
      </c>
      <c r="B134" s="110" t="s">
        <v>52</v>
      </c>
      <c r="C134" s="136"/>
      <c r="D134" s="136"/>
      <c r="E134" s="136"/>
      <c r="F134" s="136"/>
      <c r="G134" s="111"/>
      <c r="H134" s="110" t="s">
        <v>55</v>
      </c>
      <c r="I134" s="111"/>
      <c r="J134" s="107" t="s">
        <v>56</v>
      </c>
      <c r="K134" s="108"/>
      <c r="L134" s="108"/>
      <c r="M134" s="108"/>
      <c r="N134" s="108"/>
      <c r="O134" s="108"/>
      <c r="P134" s="109"/>
      <c r="Q134" s="110" t="s">
        <v>47</v>
      </c>
      <c r="R134" s="111"/>
      <c r="S134" s="107" t="s">
        <v>57</v>
      </c>
      <c r="T134" s="108"/>
      <c r="U134" s="109"/>
    </row>
    <row r="135" spans="1:27">
      <c r="A135" s="135"/>
      <c r="B135" s="112"/>
      <c r="C135" s="137"/>
      <c r="D135" s="137"/>
      <c r="E135" s="137"/>
      <c r="F135" s="137"/>
      <c r="G135" s="113"/>
      <c r="H135" s="112"/>
      <c r="I135" s="113"/>
      <c r="J135" s="107" t="s">
        <v>33</v>
      </c>
      <c r="K135" s="109"/>
      <c r="L135" s="107" t="s">
        <v>7</v>
      </c>
      <c r="M135" s="108"/>
      <c r="N135" s="109"/>
      <c r="O135" s="107" t="s">
        <v>30</v>
      </c>
      <c r="P135" s="109"/>
      <c r="Q135" s="112"/>
      <c r="R135" s="113"/>
      <c r="S135" s="37" t="s">
        <v>58</v>
      </c>
      <c r="T135" s="37" t="s">
        <v>59</v>
      </c>
      <c r="U135" s="37" t="s">
        <v>47</v>
      </c>
    </row>
    <row r="136" spans="1:27">
      <c r="A136" s="37">
        <v>1</v>
      </c>
      <c r="B136" s="107" t="s">
        <v>53</v>
      </c>
      <c r="C136" s="108"/>
      <c r="D136" s="108"/>
      <c r="E136" s="108"/>
      <c r="F136" s="108"/>
      <c r="G136" s="109"/>
      <c r="H136" s="122">
        <f>J136</f>
        <v>760</v>
      </c>
      <c r="I136" s="122"/>
      <c r="J136" s="123">
        <f>SUM((O41+O50+O59)*14+(O67*12)-J137)</f>
        <v>760</v>
      </c>
      <c r="K136" s="124"/>
      <c r="L136" s="123">
        <f>SUM((P41+P50+P59)*14+(P67*12)-L137)</f>
        <v>1322</v>
      </c>
      <c r="M136" s="125"/>
      <c r="N136" s="124"/>
      <c r="O136" s="126">
        <f>SUM(J136:N136)</f>
        <v>2082</v>
      </c>
      <c r="P136" s="127"/>
      <c r="Q136" s="128">
        <f>H136/H138</f>
        <v>0.68345323741007191</v>
      </c>
      <c r="R136" s="129"/>
      <c r="S136" s="38">
        <f>J41+J50-S137</f>
        <v>60</v>
      </c>
      <c r="T136" s="38">
        <f>J59+J67-T137</f>
        <v>24</v>
      </c>
      <c r="U136" s="57">
        <f>SUM(S136:T136)/SUM(S138:T138)</f>
        <v>0.7</v>
      </c>
    </row>
    <row r="137" spans="1:27">
      <c r="A137" s="37">
        <v>2</v>
      </c>
      <c r="B137" s="107" t="s">
        <v>54</v>
      </c>
      <c r="C137" s="108"/>
      <c r="D137" s="108"/>
      <c r="E137" s="108"/>
      <c r="F137" s="108"/>
      <c r="G137" s="109"/>
      <c r="H137" s="122">
        <f>J137</f>
        <v>352</v>
      </c>
      <c r="I137" s="122"/>
      <c r="J137" s="130">
        <f>O85</f>
        <v>352</v>
      </c>
      <c r="K137" s="131"/>
      <c r="L137" s="130">
        <f>P85</f>
        <v>564</v>
      </c>
      <c r="M137" s="132"/>
      <c r="N137" s="131"/>
      <c r="O137" s="133">
        <f>SUM(J137:N137)</f>
        <v>916</v>
      </c>
      <c r="P137" s="127"/>
      <c r="Q137" s="128">
        <f>H137/H138</f>
        <v>0.31654676258992803</v>
      </c>
      <c r="R137" s="129"/>
      <c r="S137" s="18">
        <v>0</v>
      </c>
      <c r="T137" s="18">
        <v>36</v>
      </c>
      <c r="U137" s="59">
        <f>SUM(S137:T137)/SUM(S138:T138)</f>
        <v>0.3</v>
      </c>
    </row>
    <row r="138" spans="1:27">
      <c r="A138" s="107" t="s">
        <v>25</v>
      </c>
      <c r="B138" s="108"/>
      <c r="C138" s="108"/>
      <c r="D138" s="108"/>
      <c r="E138" s="108"/>
      <c r="F138" s="108"/>
      <c r="G138" s="109"/>
      <c r="H138" s="116">
        <f>SUM(H136:I137)</f>
        <v>1112</v>
      </c>
      <c r="I138" s="116"/>
      <c r="J138" s="116">
        <f>SUM(J136:K137)</f>
        <v>1112</v>
      </c>
      <c r="K138" s="116"/>
      <c r="L138" s="117">
        <f>SUM(L136:N137)</f>
        <v>1886</v>
      </c>
      <c r="M138" s="118"/>
      <c r="N138" s="119"/>
      <c r="O138" s="117">
        <f>SUM(O136:P137)</f>
        <v>2998</v>
      </c>
      <c r="P138" s="119"/>
      <c r="Q138" s="120">
        <f>SUM(Q136:R137)</f>
        <v>1</v>
      </c>
      <c r="R138" s="121"/>
      <c r="S138" s="39">
        <f>SUM(S136:S137)</f>
        <v>60</v>
      </c>
      <c r="T138" s="39">
        <f>SUM(T136:T137)</f>
        <v>60</v>
      </c>
      <c r="U138" s="58">
        <f>SUM(U136:U137)</f>
        <v>1</v>
      </c>
    </row>
    <row r="140" spans="1:27" ht="19.5" customHeight="1">
      <c r="A140" s="209" t="s">
        <v>82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</row>
    <row r="141" spans="1:27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N141" s="43"/>
      <c r="O141" s="43"/>
      <c r="P141" s="43"/>
      <c r="Q141" s="43"/>
      <c r="R141" s="43"/>
      <c r="S141" s="43"/>
      <c r="T141" s="43"/>
      <c r="U141" s="43"/>
    </row>
    <row r="142" spans="1:27" ht="12.75" customHeight="1">
      <c r="A142" s="104" t="s">
        <v>76</v>
      </c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75"/>
      <c r="W142" s="75"/>
      <c r="X142" s="75"/>
      <c r="Y142" s="75"/>
      <c r="Z142" s="75"/>
      <c r="AA142" s="75"/>
    </row>
    <row r="143" spans="1:27" ht="27.75" customHeight="1">
      <c r="A143" s="104" t="s">
        <v>27</v>
      </c>
      <c r="B143" s="104" t="s">
        <v>26</v>
      </c>
      <c r="C143" s="104"/>
      <c r="D143" s="104"/>
      <c r="E143" s="104"/>
      <c r="F143" s="104"/>
      <c r="G143" s="104"/>
      <c r="H143" s="104"/>
      <c r="I143" s="104"/>
      <c r="J143" s="175" t="s">
        <v>40</v>
      </c>
      <c r="K143" s="175" t="s">
        <v>24</v>
      </c>
      <c r="L143" s="175"/>
      <c r="M143" s="175"/>
      <c r="N143" s="175"/>
      <c r="O143" s="175" t="s">
        <v>41</v>
      </c>
      <c r="P143" s="181"/>
      <c r="Q143" s="181"/>
      <c r="R143" s="175" t="s">
        <v>23</v>
      </c>
      <c r="S143" s="175"/>
      <c r="T143" s="175"/>
      <c r="U143" s="175" t="s">
        <v>22</v>
      </c>
      <c r="V143" s="75"/>
      <c r="W143" s="75"/>
      <c r="X143" s="75"/>
      <c r="Y143" s="75"/>
      <c r="Z143" s="75"/>
      <c r="AA143" s="75"/>
    </row>
    <row r="144" spans="1:27">
      <c r="A144" s="104"/>
      <c r="B144" s="104"/>
      <c r="C144" s="104"/>
      <c r="D144" s="104"/>
      <c r="E144" s="104"/>
      <c r="F144" s="104"/>
      <c r="G144" s="104"/>
      <c r="H144" s="104"/>
      <c r="I144" s="104"/>
      <c r="J144" s="175"/>
      <c r="K144" s="49" t="s">
        <v>28</v>
      </c>
      <c r="L144" s="49" t="s">
        <v>29</v>
      </c>
      <c r="M144" s="51" t="s">
        <v>97</v>
      </c>
      <c r="N144" s="49" t="s">
        <v>98</v>
      </c>
      <c r="O144" s="49" t="s">
        <v>33</v>
      </c>
      <c r="P144" s="49" t="s">
        <v>7</v>
      </c>
      <c r="Q144" s="49" t="s">
        <v>30</v>
      </c>
      <c r="R144" s="49" t="s">
        <v>31</v>
      </c>
      <c r="S144" s="49" t="s">
        <v>28</v>
      </c>
      <c r="T144" s="49" t="s">
        <v>32</v>
      </c>
      <c r="U144" s="175"/>
      <c r="V144" s="76"/>
      <c r="W144" s="76"/>
      <c r="X144" s="76"/>
      <c r="Y144" s="76"/>
      <c r="Z144" s="76"/>
      <c r="AA144" s="76"/>
    </row>
    <row r="145" spans="1:27">
      <c r="A145" s="114" t="s">
        <v>77</v>
      </c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76"/>
      <c r="W145" s="76"/>
      <c r="X145" s="76"/>
      <c r="Y145" s="76"/>
      <c r="Z145" s="76"/>
      <c r="AA145" s="76"/>
    </row>
    <row r="146" spans="1:27" s="43" customFormat="1">
      <c r="A146" s="44" t="s">
        <v>70</v>
      </c>
      <c r="B146" s="105" t="s">
        <v>83</v>
      </c>
      <c r="C146" s="105"/>
      <c r="D146" s="105"/>
      <c r="E146" s="105"/>
      <c r="F146" s="105"/>
      <c r="G146" s="105"/>
      <c r="H146" s="105"/>
      <c r="I146" s="105"/>
      <c r="J146" s="40">
        <v>5</v>
      </c>
      <c r="K146" s="40">
        <v>2</v>
      </c>
      <c r="L146" s="40">
        <v>1</v>
      </c>
      <c r="M146" s="40">
        <v>0</v>
      </c>
      <c r="N146" s="40">
        <v>0</v>
      </c>
      <c r="O146" s="41">
        <f>K146+L146+M146+N146</f>
        <v>3</v>
      </c>
      <c r="P146" s="41">
        <f>Q146-O146</f>
        <v>6</v>
      </c>
      <c r="Q146" s="41">
        <f>ROUND(PRODUCT(J146,25)/14,0)</f>
        <v>9</v>
      </c>
      <c r="R146" s="40" t="s">
        <v>31</v>
      </c>
      <c r="S146" s="40"/>
      <c r="T146" s="42"/>
      <c r="U146" s="42" t="s">
        <v>36</v>
      </c>
      <c r="V146" s="76"/>
      <c r="W146" s="76"/>
      <c r="X146" s="76"/>
      <c r="Y146" s="76"/>
      <c r="Z146" s="76"/>
      <c r="AA146" s="76"/>
    </row>
    <row r="147" spans="1:27">
      <c r="A147" s="44" t="s">
        <v>71</v>
      </c>
      <c r="B147" s="105" t="s">
        <v>84</v>
      </c>
      <c r="C147" s="105"/>
      <c r="D147" s="105"/>
      <c r="E147" s="105"/>
      <c r="F147" s="105"/>
      <c r="G147" s="105"/>
      <c r="H147" s="105"/>
      <c r="I147" s="105"/>
      <c r="J147" s="40">
        <v>5</v>
      </c>
      <c r="K147" s="40">
        <v>2</v>
      </c>
      <c r="L147" s="40">
        <v>1</v>
      </c>
      <c r="M147" s="40">
        <v>0</v>
      </c>
      <c r="N147" s="40">
        <v>0</v>
      </c>
      <c r="O147" s="41">
        <f>K147+L147+M147+N147</f>
        <v>3</v>
      </c>
      <c r="P147" s="41">
        <f>Q147-O147</f>
        <v>6</v>
      </c>
      <c r="Q147" s="41">
        <f>ROUND(PRODUCT(J147,25)/14,0)</f>
        <v>9</v>
      </c>
      <c r="R147" s="40" t="s">
        <v>31</v>
      </c>
      <c r="S147" s="40"/>
      <c r="T147" s="42"/>
      <c r="U147" s="42" t="s">
        <v>36</v>
      </c>
      <c r="V147" s="76"/>
      <c r="W147" s="76"/>
      <c r="X147" s="76"/>
      <c r="Y147" s="76"/>
      <c r="Z147" s="76"/>
      <c r="AA147" s="76"/>
    </row>
    <row r="148" spans="1:27">
      <c r="A148" s="77" t="s">
        <v>78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9"/>
      <c r="V148" s="76"/>
      <c r="W148" s="76"/>
      <c r="X148" s="76"/>
      <c r="Y148" s="76"/>
      <c r="Z148" s="76"/>
      <c r="AA148" s="76"/>
    </row>
    <row r="149" spans="1:27" ht="36" customHeight="1">
      <c r="A149" s="44" t="s">
        <v>72</v>
      </c>
      <c r="B149" s="80" t="s">
        <v>94</v>
      </c>
      <c r="C149" s="81"/>
      <c r="D149" s="81"/>
      <c r="E149" s="81"/>
      <c r="F149" s="81"/>
      <c r="G149" s="81"/>
      <c r="H149" s="81"/>
      <c r="I149" s="82"/>
      <c r="J149" s="40">
        <v>5</v>
      </c>
      <c r="K149" s="40">
        <v>2</v>
      </c>
      <c r="L149" s="40">
        <v>1</v>
      </c>
      <c r="M149" s="40">
        <v>0</v>
      </c>
      <c r="N149" s="40">
        <v>0</v>
      </c>
      <c r="O149" s="41">
        <f>K149+L149+M149+N149</f>
        <v>3</v>
      </c>
      <c r="P149" s="41">
        <f>Q149-O149</f>
        <v>6</v>
      </c>
      <c r="Q149" s="41">
        <f>ROUND(PRODUCT(J149,25)/14,0)</f>
        <v>9</v>
      </c>
      <c r="R149" s="40" t="s">
        <v>31</v>
      </c>
      <c r="S149" s="40"/>
      <c r="T149" s="42"/>
      <c r="U149" s="42" t="s">
        <v>85</v>
      </c>
      <c r="V149" s="76"/>
      <c r="W149" s="76"/>
      <c r="X149" s="76"/>
      <c r="Y149" s="76"/>
      <c r="Z149" s="76"/>
      <c r="AA149" s="76"/>
    </row>
    <row r="150" spans="1:27" s="43" customFormat="1" ht="15" customHeight="1">
      <c r="A150" s="44" t="s">
        <v>73</v>
      </c>
      <c r="B150" s="80" t="s">
        <v>95</v>
      </c>
      <c r="C150" s="81"/>
      <c r="D150" s="81"/>
      <c r="E150" s="81"/>
      <c r="F150" s="81"/>
      <c r="G150" s="81"/>
      <c r="H150" s="81"/>
      <c r="I150" s="82"/>
      <c r="J150" s="40">
        <v>5</v>
      </c>
      <c r="K150" s="40">
        <v>1</v>
      </c>
      <c r="L150" s="40">
        <v>2</v>
      </c>
      <c r="M150" s="40">
        <v>0</v>
      </c>
      <c r="N150" s="40">
        <v>0</v>
      </c>
      <c r="O150" s="41">
        <f>K150+L150+M150+N150</f>
        <v>3</v>
      </c>
      <c r="P150" s="41">
        <f>Q150-O150</f>
        <v>6</v>
      </c>
      <c r="Q150" s="41">
        <f>ROUND(PRODUCT(J150,25)/14,0)</f>
        <v>9</v>
      </c>
      <c r="R150" s="40" t="s">
        <v>31</v>
      </c>
      <c r="S150" s="40"/>
      <c r="T150" s="42"/>
      <c r="U150" s="42" t="s">
        <v>86</v>
      </c>
      <c r="V150" s="76"/>
      <c r="W150" s="76"/>
      <c r="X150" s="76"/>
      <c r="Y150" s="76"/>
      <c r="Z150" s="76"/>
      <c r="AA150" s="76"/>
    </row>
    <row r="151" spans="1:27">
      <c r="A151" s="77" t="s">
        <v>79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9"/>
      <c r="V151" s="76"/>
      <c r="W151" s="76"/>
      <c r="X151" s="76"/>
      <c r="Y151" s="76"/>
      <c r="Z151" s="76"/>
      <c r="AA151" s="76"/>
    </row>
    <row r="152" spans="1:27" s="43" customFormat="1" ht="36.75" customHeight="1">
      <c r="A152" s="44" t="s">
        <v>88</v>
      </c>
      <c r="B152" s="80" t="s">
        <v>87</v>
      </c>
      <c r="C152" s="81"/>
      <c r="D152" s="81"/>
      <c r="E152" s="81"/>
      <c r="F152" s="81"/>
      <c r="G152" s="81"/>
      <c r="H152" s="81"/>
      <c r="I152" s="82"/>
      <c r="J152" s="40">
        <v>5</v>
      </c>
      <c r="K152" s="40">
        <v>0</v>
      </c>
      <c r="L152" s="40">
        <v>0</v>
      </c>
      <c r="M152" s="40">
        <v>3</v>
      </c>
      <c r="N152" s="40">
        <v>0</v>
      </c>
      <c r="O152" s="41">
        <f>K152+L152+M152+N152</f>
        <v>3</v>
      </c>
      <c r="P152" s="41">
        <f>Q152-O152</f>
        <v>6</v>
      </c>
      <c r="Q152" s="41">
        <f>ROUND(PRODUCT(J152,25)/14,0)</f>
        <v>9</v>
      </c>
      <c r="R152" s="40"/>
      <c r="S152" s="40" t="s">
        <v>28</v>
      </c>
      <c r="T152" s="42"/>
      <c r="U152" s="42" t="s">
        <v>85</v>
      </c>
      <c r="V152" s="76"/>
      <c r="W152" s="76"/>
      <c r="X152" s="76"/>
      <c r="Y152" s="76"/>
      <c r="Z152" s="76"/>
      <c r="AA152" s="76"/>
    </row>
    <row r="153" spans="1:27" ht="18" customHeight="1">
      <c r="A153" s="44" t="s">
        <v>89</v>
      </c>
      <c r="B153" s="80" t="s">
        <v>96</v>
      </c>
      <c r="C153" s="81"/>
      <c r="D153" s="81"/>
      <c r="E153" s="81"/>
      <c r="F153" s="81"/>
      <c r="G153" s="81"/>
      <c r="H153" s="81"/>
      <c r="I153" s="82"/>
      <c r="J153" s="40">
        <v>5</v>
      </c>
      <c r="K153" s="40">
        <v>1</v>
      </c>
      <c r="L153" s="40">
        <v>2</v>
      </c>
      <c r="M153" s="40">
        <v>0</v>
      </c>
      <c r="N153" s="40">
        <v>0</v>
      </c>
      <c r="O153" s="41">
        <f>K153+L153+M153+N153</f>
        <v>3</v>
      </c>
      <c r="P153" s="41">
        <f>Q153-O153</f>
        <v>6</v>
      </c>
      <c r="Q153" s="41">
        <f>ROUND(PRODUCT(J153,25)/14,0)</f>
        <v>9</v>
      </c>
      <c r="R153" s="40" t="s">
        <v>31</v>
      </c>
      <c r="S153" s="40"/>
      <c r="T153" s="42"/>
      <c r="U153" s="42" t="s">
        <v>86</v>
      </c>
      <c r="V153" s="76"/>
      <c r="W153" s="76"/>
      <c r="X153" s="76"/>
      <c r="Y153" s="76"/>
      <c r="Z153" s="76"/>
      <c r="AA153" s="76"/>
    </row>
    <row r="154" spans="1:27">
      <c r="A154" s="83" t="s">
        <v>80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5"/>
      <c r="V154" s="76"/>
      <c r="W154" s="76"/>
      <c r="X154" s="76"/>
      <c r="Y154" s="76"/>
      <c r="Z154" s="76"/>
      <c r="AA154" s="76"/>
    </row>
    <row r="155" spans="1:27" ht="18.75" customHeight="1">
      <c r="A155" s="44"/>
      <c r="B155" s="80" t="s">
        <v>74</v>
      </c>
      <c r="C155" s="81"/>
      <c r="D155" s="81"/>
      <c r="E155" s="81"/>
      <c r="F155" s="81"/>
      <c r="G155" s="81"/>
      <c r="H155" s="81"/>
      <c r="I155" s="82"/>
      <c r="J155" s="40">
        <v>5</v>
      </c>
      <c r="K155" s="40"/>
      <c r="L155" s="40"/>
      <c r="M155" s="40"/>
      <c r="N155" s="40"/>
      <c r="O155" s="41"/>
      <c r="P155" s="41"/>
      <c r="Q155" s="41"/>
      <c r="R155" s="40"/>
      <c r="S155" s="40"/>
      <c r="T155" s="42"/>
      <c r="U155" s="45"/>
      <c r="V155" s="76"/>
      <c r="W155" s="76"/>
      <c r="X155" s="76"/>
      <c r="Y155" s="76"/>
      <c r="Z155" s="76"/>
      <c r="AA155" s="76"/>
    </row>
    <row r="156" spans="1:27" ht="20.25" customHeight="1">
      <c r="A156" s="86" t="s">
        <v>75</v>
      </c>
      <c r="B156" s="87"/>
      <c r="C156" s="87"/>
      <c r="D156" s="87"/>
      <c r="E156" s="87"/>
      <c r="F156" s="87"/>
      <c r="G156" s="87"/>
      <c r="H156" s="87"/>
      <c r="I156" s="88"/>
      <c r="J156" s="46">
        <f>SUM(J146:J147,J149:J150,J152:J153,J155)</f>
        <v>35</v>
      </c>
      <c r="K156" s="46">
        <f t="shared" ref="K156:Q156" si="57">SUM(K146:K147,K149:K150,K152:K153,K155)</f>
        <v>8</v>
      </c>
      <c r="L156" s="46">
        <f t="shared" si="57"/>
        <v>7</v>
      </c>
      <c r="M156" s="46">
        <f t="shared" ref="M156" si="58">SUM(M146:M147,M149:M150,M152:M153,M155)</f>
        <v>3</v>
      </c>
      <c r="N156" s="46">
        <f t="shared" si="57"/>
        <v>0</v>
      </c>
      <c r="O156" s="46">
        <f t="shared" si="57"/>
        <v>18</v>
      </c>
      <c r="P156" s="46">
        <f t="shared" si="57"/>
        <v>36</v>
      </c>
      <c r="Q156" s="46">
        <f t="shared" si="57"/>
        <v>54</v>
      </c>
      <c r="R156" s="48">
        <f>COUNTIF(R146:R147,"E")+COUNTIF(R149:R150,"E")+COUNTIF(R152:R153,"E")+COUNTIF(R155,"E")</f>
        <v>5</v>
      </c>
      <c r="S156" s="48">
        <f>COUNTIF(S146:S147,"C")+COUNTIF(S149:S150,"C")+COUNTIF(S152:S153,"C")+COUNTIF(S155,"C")</f>
        <v>1</v>
      </c>
      <c r="T156" s="48">
        <f>COUNTIF(T146:T147,"VP")+COUNTIF(T149:T150,"VP")+COUNTIF(T152:T153,"VP")+COUNTIF(T155,"VP")</f>
        <v>0</v>
      </c>
      <c r="U156" s="47"/>
      <c r="V156" s="76"/>
      <c r="W156" s="76"/>
      <c r="X156" s="76"/>
      <c r="Y156" s="76"/>
      <c r="Z156" s="76"/>
      <c r="AA156" s="76"/>
    </row>
    <row r="157" spans="1:27" ht="20.25" customHeight="1">
      <c r="A157" s="89" t="s">
        <v>49</v>
      </c>
      <c r="B157" s="90"/>
      <c r="C157" s="90"/>
      <c r="D157" s="90"/>
      <c r="E157" s="90"/>
      <c r="F157" s="90"/>
      <c r="G157" s="90"/>
      <c r="H157" s="90"/>
      <c r="I157" s="90"/>
      <c r="J157" s="91"/>
      <c r="K157" s="46">
        <f>SUM(K146:K147,K149:K150,K152:K153)*14</f>
        <v>112</v>
      </c>
      <c r="L157" s="46">
        <f t="shared" ref="L157:Q157" si="59">SUM(L146:L147,L149:L150,L152:L153)*14</f>
        <v>98</v>
      </c>
      <c r="M157" s="46">
        <f t="shared" ref="M157" si="60">SUM(M146:M147,M149:M150,M152:M153)*14</f>
        <v>42</v>
      </c>
      <c r="N157" s="46">
        <f t="shared" si="59"/>
        <v>0</v>
      </c>
      <c r="O157" s="46">
        <f t="shared" si="59"/>
        <v>252</v>
      </c>
      <c r="P157" s="46">
        <f t="shared" si="59"/>
        <v>504</v>
      </c>
      <c r="Q157" s="46">
        <f t="shared" si="59"/>
        <v>756</v>
      </c>
      <c r="R157" s="95"/>
      <c r="S157" s="96"/>
      <c r="T157" s="96"/>
      <c r="U157" s="97"/>
      <c r="V157" s="76"/>
      <c r="W157" s="76"/>
      <c r="X157" s="76"/>
      <c r="Y157" s="76"/>
      <c r="Z157" s="76"/>
      <c r="AA157" s="76"/>
    </row>
    <row r="158" spans="1:27" ht="20.25" customHeight="1">
      <c r="A158" s="92"/>
      <c r="B158" s="93"/>
      <c r="C158" s="93"/>
      <c r="D158" s="93"/>
      <c r="E158" s="93"/>
      <c r="F158" s="93"/>
      <c r="G158" s="93"/>
      <c r="H158" s="93"/>
      <c r="I158" s="93"/>
      <c r="J158" s="94"/>
      <c r="K158" s="101">
        <f>SUM(K157:N157)</f>
        <v>252</v>
      </c>
      <c r="L158" s="102"/>
      <c r="M158" s="102"/>
      <c r="N158" s="103"/>
      <c r="O158" s="101">
        <f>SUM(O157:P157)</f>
        <v>756</v>
      </c>
      <c r="P158" s="102"/>
      <c r="Q158" s="103"/>
      <c r="R158" s="98"/>
      <c r="S158" s="99"/>
      <c r="T158" s="99"/>
      <c r="U158" s="100"/>
      <c r="V158" s="76"/>
      <c r="W158" s="76"/>
      <c r="X158" s="76"/>
      <c r="Y158" s="76"/>
      <c r="Z158" s="76"/>
      <c r="AA158" s="76"/>
    </row>
    <row r="159" spans="1:27">
      <c r="V159" s="76"/>
      <c r="W159" s="76"/>
      <c r="X159" s="76"/>
      <c r="Y159" s="76"/>
      <c r="Z159" s="76"/>
      <c r="AA159" s="76"/>
    </row>
    <row r="160" spans="1:27">
      <c r="A160" s="106" t="s">
        <v>90</v>
      </c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76"/>
      <c r="W160" s="76"/>
      <c r="X160" s="76"/>
      <c r="Y160" s="76"/>
      <c r="Z160" s="76"/>
      <c r="AA160" s="76"/>
    </row>
    <row r="161" spans="1:27">
      <c r="A161" s="106" t="s">
        <v>91</v>
      </c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76"/>
      <c r="W161" s="76"/>
      <c r="X161" s="76"/>
      <c r="Y161" s="76"/>
      <c r="Z161" s="76"/>
      <c r="AA161" s="76"/>
    </row>
    <row r="162" spans="1:27">
      <c r="A162" s="106" t="s">
        <v>92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76"/>
      <c r="W162" s="76"/>
      <c r="X162" s="76"/>
      <c r="Y162" s="76"/>
      <c r="Z162" s="76"/>
      <c r="AA162" s="76"/>
    </row>
    <row r="163" spans="1:27">
      <c r="V163" s="76"/>
      <c r="W163" s="76"/>
      <c r="X163" s="76"/>
      <c r="Y163" s="76"/>
      <c r="Z163" s="76"/>
      <c r="AA163" s="76"/>
    </row>
    <row r="164" spans="1:27">
      <c r="V164" s="76"/>
      <c r="W164" s="76"/>
      <c r="X164" s="76"/>
      <c r="Y164" s="76"/>
      <c r="Z164" s="76"/>
      <c r="AA164" s="76"/>
    </row>
    <row r="165" spans="1:27">
      <c r="V165" s="76"/>
      <c r="W165" s="76"/>
      <c r="X165" s="76"/>
      <c r="Y165" s="76"/>
      <c r="Z165" s="76"/>
      <c r="AA165" s="76"/>
    </row>
    <row r="166" spans="1:27">
      <c r="V166" s="76"/>
      <c r="W166" s="76"/>
      <c r="X166" s="76"/>
      <c r="Y166" s="76"/>
      <c r="Z166" s="76"/>
      <c r="AA166" s="76"/>
    </row>
    <row r="167" spans="1:27">
      <c r="V167" s="76"/>
      <c r="W167" s="76"/>
      <c r="X167" s="76"/>
      <c r="Y167" s="76"/>
      <c r="Z167" s="76"/>
      <c r="AA167" s="76"/>
    </row>
  </sheetData>
  <sheetProtection formatCells="0" formatRows="0" insertRows="0"/>
  <mergeCells count="232">
    <mergeCell ref="A140:U140"/>
    <mergeCell ref="A143:A144"/>
    <mergeCell ref="B143:I144"/>
    <mergeCell ref="J143:J144"/>
    <mergeCell ref="K143:N143"/>
    <mergeCell ref="O143:Q143"/>
    <mergeCell ref="R143:T143"/>
    <mergeCell ref="U143:U144"/>
    <mergeCell ref="K53:N53"/>
    <mergeCell ref="A91:A92"/>
    <mergeCell ref="B91:I92"/>
    <mergeCell ref="J91:J92"/>
    <mergeCell ref="O53:Q53"/>
    <mergeCell ref="R53:T53"/>
    <mergeCell ref="U53:U54"/>
    <mergeCell ref="B64:I64"/>
    <mergeCell ref="B65:I65"/>
    <mergeCell ref="B66:I66"/>
    <mergeCell ref="A53:A54"/>
    <mergeCell ref="U35:U36"/>
    <mergeCell ref="A81:U81"/>
    <mergeCell ref="B83:I83"/>
    <mergeCell ref="A75:U75"/>
    <mergeCell ref="B95:I95"/>
    <mergeCell ref="B96:I96"/>
    <mergeCell ref="B97:I97"/>
    <mergeCell ref="B94:I94"/>
    <mergeCell ref="A93:U93"/>
    <mergeCell ref="U91:U92"/>
    <mergeCell ref="B98:I98"/>
    <mergeCell ref="A90:U90"/>
    <mergeCell ref="K91:N91"/>
    <mergeCell ref="O91:Q91"/>
    <mergeCell ref="B56:I56"/>
    <mergeCell ref="A52:U52"/>
    <mergeCell ref="J53:J54"/>
    <mergeCell ref="G26:G27"/>
    <mergeCell ref="M18:T18"/>
    <mergeCell ref="M13:T13"/>
    <mergeCell ref="M16:T16"/>
    <mergeCell ref="U62:U63"/>
    <mergeCell ref="B59:I59"/>
    <mergeCell ref="B62:I63"/>
    <mergeCell ref="B57:I57"/>
    <mergeCell ref="B58:I58"/>
    <mergeCell ref="A61:U61"/>
    <mergeCell ref="J62:J63"/>
    <mergeCell ref="K62:N62"/>
    <mergeCell ref="O62:Q62"/>
    <mergeCell ref="R62:T62"/>
    <mergeCell ref="A62:A63"/>
    <mergeCell ref="M21:T23"/>
    <mergeCell ref="I26:K26"/>
    <mergeCell ref="B26:C26"/>
    <mergeCell ref="H26:H27"/>
    <mergeCell ref="A25:G25"/>
    <mergeCell ref="B53:I54"/>
    <mergeCell ref="A72:U72"/>
    <mergeCell ref="R91:T91"/>
    <mergeCell ref="J73:J74"/>
    <mergeCell ref="K73:N73"/>
    <mergeCell ref="A2:K2"/>
    <mergeCell ref="A6:K6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M8:T11"/>
    <mergeCell ref="A11:K11"/>
    <mergeCell ref="B67:I67"/>
    <mergeCell ref="R3:T3"/>
    <mergeCell ref="R4:T4"/>
    <mergeCell ref="R5:T5"/>
    <mergeCell ref="B55:I55"/>
    <mergeCell ref="A15:K15"/>
    <mergeCell ref="J35:J36"/>
    <mergeCell ref="A12:K12"/>
    <mergeCell ref="A34:U34"/>
    <mergeCell ref="M25:T31"/>
    <mergeCell ref="A20:K23"/>
    <mergeCell ref="A1:K1"/>
    <mergeCell ref="A3:K3"/>
    <mergeCell ref="B50:I50"/>
    <mergeCell ref="B48:I48"/>
    <mergeCell ref="B49:I49"/>
    <mergeCell ref="B39:I39"/>
    <mergeCell ref="B37:I37"/>
    <mergeCell ref="B38:I38"/>
    <mergeCell ref="B41:I41"/>
    <mergeCell ref="B46:I46"/>
    <mergeCell ref="B47:I47"/>
    <mergeCell ref="B40:I40"/>
    <mergeCell ref="B44:I45"/>
    <mergeCell ref="A13:K13"/>
    <mergeCell ref="A14:K14"/>
    <mergeCell ref="A16:K16"/>
    <mergeCell ref="B35:I36"/>
    <mergeCell ref="M17:T17"/>
    <mergeCell ref="K44:N44"/>
    <mergeCell ref="M19:T19"/>
    <mergeCell ref="M1:T1"/>
    <mergeCell ref="M14:T14"/>
    <mergeCell ref="A4:K5"/>
    <mergeCell ref="A32:U32"/>
    <mergeCell ref="A19:K19"/>
    <mergeCell ref="A17:K17"/>
    <mergeCell ref="M3:N3"/>
    <mergeCell ref="M5:N5"/>
    <mergeCell ref="D26:F26"/>
    <mergeCell ref="A18:K18"/>
    <mergeCell ref="O44:Q44"/>
    <mergeCell ref="R44:T44"/>
    <mergeCell ref="O35:Q35"/>
    <mergeCell ref="K35:N35"/>
    <mergeCell ref="U44:U45"/>
    <mergeCell ref="R35:T35"/>
    <mergeCell ref="A43:U43"/>
    <mergeCell ref="J44:J45"/>
    <mergeCell ref="A44:A45"/>
    <mergeCell ref="A35:A36"/>
    <mergeCell ref="M15:T15"/>
    <mergeCell ref="R6:T6"/>
    <mergeCell ref="B76:I76"/>
    <mergeCell ref="R73:T73"/>
    <mergeCell ref="K86:N86"/>
    <mergeCell ref="O86:Q86"/>
    <mergeCell ref="R85:U86"/>
    <mergeCell ref="A84:I84"/>
    <mergeCell ref="A85:J86"/>
    <mergeCell ref="B77:I77"/>
    <mergeCell ref="U73:U74"/>
    <mergeCell ref="B73:I74"/>
    <mergeCell ref="O73:Q73"/>
    <mergeCell ref="A73:A74"/>
    <mergeCell ref="A108:U108"/>
    <mergeCell ref="J109:J110"/>
    <mergeCell ref="K109:N109"/>
    <mergeCell ref="O109:Q109"/>
    <mergeCell ref="B109:I110"/>
    <mergeCell ref="R109:T109"/>
    <mergeCell ref="U109:U110"/>
    <mergeCell ref="A78:U78"/>
    <mergeCell ref="B82:I82"/>
    <mergeCell ref="B80:I80"/>
    <mergeCell ref="B79:I79"/>
    <mergeCell ref="B116:I116"/>
    <mergeCell ref="B115:I115"/>
    <mergeCell ref="B121:I121"/>
    <mergeCell ref="B117:I117"/>
    <mergeCell ref="A119:U119"/>
    <mergeCell ref="A126:J127"/>
    <mergeCell ref="R126:U127"/>
    <mergeCell ref="A89:U89"/>
    <mergeCell ref="B99:I99"/>
    <mergeCell ref="B102:I102"/>
    <mergeCell ref="A101:U101"/>
    <mergeCell ref="A111:U111"/>
    <mergeCell ref="B112:I112"/>
    <mergeCell ref="B113:I113"/>
    <mergeCell ref="B118:I118"/>
    <mergeCell ref="B100:I100"/>
    <mergeCell ref="A105:J106"/>
    <mergeCell ref="R105:U106"/>
    <mergeCell ref="O106:Q106"/>
    <mergeCell ref="K106:N106"/>
    <mergeCell ref="A104:I104"/>
    <mergeCell ref="B103:I103"/>
    <mergeCell ref="B114:I114"/>
    <mergeCell ref="A109:A110"/>
    <mergeCell ref="O137:P137"/>
    <mergeCell ref="Q137:R137"/>
    <mergeCell ref="A134:A135"/>
    <mergeCell ref="B134:G135"/>
    <mergeCell ref="H134:I135"/>
    <mergeCell ref="B122:I122"/>
    <mergeCell ref="B123:I123"/>
    <mergeCell ref="B124:I124"/>
    <mergeCell ref="B120:I120"/>
    <mergeCell ref="A125:I125"/>
    <mergeCell ref="K127:N127"/>
    <mergeCell ref="O127:Q127"/>
    <mergeCell ref="J134:P134"/>
    <mergeCell ref="Q134:R135"/>
    <mergeCell ref="S134:U134"/>
    <mergeCell ref="J135:K135"/>
    <mergeCell ref="L135:N135"/>
    <mergeCell ref="O135:P135"/>
    <mergeCell ref="A145:U145"/>
    <mergeCell ref="A133:B133"/>
    <mergeCell ref="A138:G138"/>
    <mergeCell ref="H138:I138"/>
    <mergeCell ref="J138:K138"/>
    <mergeCell ref="L138:N138"/>
    <mergeCell ref="O138:P138"/>
    <mergeCell ref="Q138:R138"/>
    <mergeCell ref="B136:G136"/>
    <mergeCell ref="H136:I136"/>
    <mergeCell ref="J136:K136"/>
    <mergeCell ref="L136:N136"/>
    <mergeCell ref="O136:P136"/>
    <mergeCell ref="Q136:R136"/>
    <mergeCell ref="B137:G137"/>
    <mergeCell ref="H137:I137"/>
    <mergeCell ref="J137:K137"/>
    <mergeCell ref="L137:N137"/>
    <mergeCell ref="V142:AA143"/>
    <mergeCell ref="V144:AA167"/>
    <mergeCell ref="A148:U148"/>
    <mergeCell ref="B149:I149"/>
    <mergeCell ref="A151:U151"/>
    <mergeCell ref="B153:I153"/>
    <mergeCell ref="A154:U154"/>
    <mergeCell ref="B155:I155"/>
    <mergeCell ref="A156:I156"/>
    <mergeCell ref="A157:J158"/>
    <mergeCell ref="R157:U158"/>
    <mergeCell ref="K158:N158"/>
    <mergeCell ref="O158:Q158"/>
    <mergeCell ref="B150:I150"/>
    <mergeCell ref="A142:U142"/>
    <mergeCell ref="B147:I147"/>
    <mergeCell ref="B146:I146"/>
    <mergeCell ref="B152:I152"/>
    <mergeCell ref="A160:U160"/>
    <mergeCell ref="A161:U161"/>
    <mergeCell ref="A162:U162"/>
  </mergeCells>
  <phoneticPr fontId="6" type="noConversion"/>
  <conditionalFormatting sqref="U28 U3:U6">
    <cfRule type="cellIs" dxfId="13" priority="62" operator="equal">
      <formula>"E bine"</formula>
    </cfRule>
  </conditionalFormatting>
  <conditionalFormatting sqref="U28 U3:U6">
    <cfRule type="cellIs" dxfId="12" priority="61" operator="equal">
      <formula>"NU e bine"</formula>
    </cfRule>
  </conditionalFormatting>
  <conditionalFormatting sqref="U3:U6 U28">
    <cfRule type="cellIs" dxfId="11" priority="54" operator="equal">
      <formula>"Suma trebuie să fie 52"</formula>
    </cfRule>
    <cfRule type="cellIs" dxfId="10" priority="55" operator="equal">
      <formula>"Corect"</formula>
    </cfRule>
    <cfRule type="cellIs" dxfId="9" priority="56" operator="equal">
      <formula>SUM($B$28:$J$28)</formula>
    </cfRule>
    <cfRule type="cellIs" dxfId="8" priority="57" operator="lessThan">
      <formula>"(SUM(B28:K28)=52"</formula>
    </cfRule>
    <cfRule type="cellIs" dxfId="7" priority="58" operator="equal">
      <formula>52</formula>
    </cfRule>
    <cfRule type="cellIs" dxfId="6" priority="59" operator="equal">
      <formula>$K$28</formula>
    </cfRule>
    <cfRule type="cellIs" dxfId="5" priority="60" operator="equal">
      <formula>$B$28:$K$28=52</formula>
    </cfRule>
  </conditionalFormatting>
  <conditionalFormatting sqref="U3:U6 U28">
    <cfRule type="cellIs" dxfId="4" priority="52" operator="equal">
      <formula>"Suma trebuie să fie 52"</formula>
    </cfRule>
    <cfRule type="cellIs" dxfId="3" priority="53" operator="equal">
      <formula>"Corect"</formula>
    </cfRule>
  </conditionalFormatting>
  <conditionalFormatting sqref="U3:U6">
    <cfRule type="cellIs" dxfId="2" priority="51" operator="equal">
      <formula>"Trebuie alocate cel puțin 20 de ore pe săptămână"</formula>
    </cfRule>
  </conditionalFormatting>
  <conditionalFormatting sqref="U28">
    <cfRule type="cellIs" dxfId="1" priority="39" operator="equal">
      <formula>"Corect"</formula>
    </cfRule>
  </conditionalFormatting>
  <conditionalFormatting sqref="U28">
    <cfRule type="cellIs" dxfId="0" priority="38" operator="equal">
      <formula>"Correct"</formula>
    </cfRule>
  </conditionalFormatting>
  <dataValidations disablePrompts="1" count="6">
    <dataValidation type="list" allowBlank="1" showInputMessage="1" showErrorMessage="1" sqref="S149:S150 S155 S146:S147 S152:S153 S37:S40 S46:S49 S76:S77 S55:S58 S64:S66 S79:S80 S82:S83">
      <formula1>$S$36</formula1>
    </dataValidation>
    <dataValidation type="list" allowBlank="1" showInputMessage="1" showErrorMessage="1" sqref="R149:R150 R155 R146:R147 R152:R153 R37:R40 R46:R49 R76:R77 R55:R58 R64:R66 R79:R80 R82:R83">
      <formula1>$R$36</formula1>
    </dataValidation>
    <dataValidation type="list" allowBlank="1" showInputMessage="1" showErrorMessage="1" sqref="T149:T150 T155 T146:T147 T152:T153 T37:T40 T46:T49 T76:T77 T55:T58 T64:T66 T79:T80 T82:T83">
      <formula1>$T$36</formula1>
    </dataValidation>
    <dataValidation type="list" allowBlank="1" showInputMessage="1" showErrorMessage="1" sqref="U120:U123 U112:U117 U37:U40 U46:U49 U102 U76:U77 U55:U58 U64:U66 U79:U80 U82:U83 U94:U99">
      <formula1>$P$33:$T$33</formula1>
    </dataValidation>
    <dataValidation type="list" allowBlank="1" showInputMessage="1" showErrorMessage="1" sqref="U118 U100">
      <formula1>$Q$33:$T$33</formula1>
    </dataValidation>
    <dataValidation type="list" allowBlank="1" showInputMessage="1" showErrorMessage="1" sqref="B123:I123 B102:I102">
      <formula1>$B$35:$B$87</formula1>
    </dataValidation>
  </dataValidations>
  <pageMargins left="0.7" right="0.7" top="0.75" bottom="0.75" header="0.3" footer="0.3"/>
  <pageSetup paperSize="9" orientation="landscape" blackAndWhite="1" r:id="rId1"/>
  <headerFooter>
    <oddHeader>&amp;R&amp;P</oddHeader>
    <oddFooter xml:space="preserve">&amp;LRECTOR,
Acad.Prof.univ.dr. Ioan Aurel POP&amp;CDECAN,
Prof.dr. Adrian Olimpiu PETRUȘEL&amp;RDIRECTOR DE DEPARTAMENT,
 Conf.dr. ANDRÁS Szilárd   </oddFooter>
  </headerFooter>
  <rowBreaks count="2" manualBreakCount="2">
    <brk id="87" max="16383" man="1"/>
    <brk id="138" max="16383" man="1"/>
  </rowBreaks>
  <ignoredErrors>
    <ignoredError sqref="R41" formula="1"/>
    <ignoredError sqref="K8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2017-04-11T19:18:56Z</dcterms:created>
  <dcterms:modified xsi:type="dcterms:W3CDTF">2017-04-11T19:18:57Z</dcterms:modified>
</cp:coreProperties>
</file>