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sers\Ady\Decanat\Planuri de invatamant\Planuri de invatamant 2019-2020\Master\Finale2\"/>
    </mc:Choice>
  </mc:AlternateContent>
  <xr:revisionPtr revIDLastSave="0" documentId="13_ncr:1_{51042862-69B6-4511-8DF2-49A54893154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2" i="1" l="1"/>
  <c r="Z3" i="1" l="1"/>
  <c r="L113" i="1" l="1"/>
  <c r="M113" i="1"/>
  <c r="N113" i="1"/>
  <c r="K113" i="1"/>
  <c r="T112" i="1"/>
  <c r="S112" i="1"/>
  <c r="R112" i="1"/>
  <c r="K112" i="1"/>
  <c r="L112" i="1"/>
  <c r="M112" i="1"/>
  <c r="N112" i="1"/>
  <c r="J112" i="1"/>
  <c r="T182" i="1" l="1"/>
  <c r="S182" i="1"/>
  <c r="R182" i="1"/>
  <c r="N182" i="1"/>
  <c r="M182" i="1"/>
  <c r="L182" i="1"/>
  <c r="K182" i="1"/>
  <c r="J182" i="1"/>
  <c r="T179" i="1"/>
  <c r="S179" i="1"/>
  <c r="R179" i="1"/>
  <c r="N179" i="1"/>
  <c r="M179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T153" i="1"/>
  <c r="S153" i="1"/>
  <c r="R153" i="1"/>
  <c r="N153" i="1"/>
  <c r="M153" i="1"/>
  <c r="L153" i="1"/>
  <c r="K153" i="1"/>
  <c r="J153" i="1"/>
  <c r="J149" i="1"/>
  <c r="K149" i="1"/>
  <c r="L149" i="1"/>
  <c r="M149" i="1"/>
  <c r="N149" i="1"/>
  <c r="R149" i="1"/>
  <c r="S149" i="1"/>
  <c r="T149" i="1"/>
  <c r="J150" i="1"/>
  <c r="K150" i="1"/>
  <c r="L150" i="1"/>
  <c r="M150" i="1"/>
  <c r="N150" i="1"/>
  <c r="R150" i="1"/>
  <c r="S150" i="1"/>
  <c r="T150" i="1"/>
  <c r="T148" i="1"/>
  <c r="S148" i="1"/>
  <c r="R148" i="1"/>
  <c r="N148" i="1"/>
  <c r="M148" i="1"/>
  <c r="T131" i="1"/>
  <c r="S131" i="1"/>
  <c r="R131" i="1"/>
  <c r="Q131" i="1"/>
  <c r="P131" i="1"/>
  <c r="O131" i="1"/>
  <c r="N131" i="1"/>
  <c r="M131" i="1"/>
  <c r="L131" i="1"/>
  <c r="K131" i="1"/>
  <c r="J131" i="1"/>
  <c r="J122" i="1"/>
  <c r="K122" i="1"/>
  <c r="L122" i="1"/>
  <c r="M122" i="1"/>
  <c r="N122" i="1"/>
  <c r="R122" i="1"/>
  <c r="S122" i="1"/>
  <c r="T122" i="1"/>
  <c r="J123" i="1"/>
  <c r="K123" i="1"/>
  <c r="L123" i="1"/>
  <c r="M123" i="1"/>
  <c r="N123" i="1"/>
  <c r="R123" i="1"/>
  <c r="S123" i="1"/>
  <c r="T123" i="1"/>
  <c r="J124" i="1"/>
  <c r="K124" i="1"/>
  <c r="L124" i="1"/>
  <c r="M124" i="1"/>
  <c r="N124" i="1"/>
  <c r="R124" i="1"/>
  <c r="S124" i="1"/>
  <c r="T124" i="1"/>
  <c r="J125" i="1"/>
  <c r="K125" i="1"/>
  <c r="L125" i="1"/>
  <c r="M125" i="1"/>
  <c r="N125" i="1"/>
  <c r="R125" i="1"/>
  <c r="S125" i="1"/>
  <c r="T125" i="1"/>
  <c r="J126" i="1"/>
  <c r="K126" i="1"/>
  <c r="L126" i="1"/>
  <c r="M126" i="1"/>
  <c r="N126" i="1"/>
  <c r="R126" i="1"/>
  <c r="S126" i="1"/>
  <c r="T126" i="1"/>
  <c r="J127" i="1"/>
  <c r="K127" i="1"/>
  <c r="L127" i="1"/>
  <c r="M127" i="1"/>
  <c r="N127" i="1"/>
  <c r="R127" i="1"/>
  <c r="S127" i="1"/>
  <c r="T127" i="1"/>
  <c r="J128" i="1"/>
  <c r="K128" i="1"/>
  <c r="L128" i="1"/>
  <c r="M128" i="1"/>
  <c r="N128" i="1"/>
  <c r="R128" i="1"/>
  <c r="S128" i="1"/>
  <c r="T128" i="1"/>
  <c r="T121" i="1"/>
  <c r="S121" i="1"/>
  <c r="R121" i="1"/>
  <c r="N121" i="1"/>
  <c r="M121" i="1"/>
  <c r="O111" i="1"/>
  <c r="O110" i="1"/>
  <c r="O107" i="1"/>
  <c r="O108" i="1"/>
  <c r="O106" i="1"/>
  <c r="O104" i="1"/>
  <c r="O103" i="1"/>
  <c r="O100" i="1"/>
  <c r="O101" i="1"/>
  <c r="O99" i="1"/>
  <c r="O75" i="1"/>
  <c r="O154" i="1" s="1"/>
  <c r="O76" i="1"/>
  <c r="O155" i="1" s="1"/>
  <c r="O77" i="1"/>
  <c r="O182" i="1" s="1"/>
  <c r="O65" i="1"/>
  <c r="O149" i="1" s="1"/>
  <c r="O66" i="1"/>
  <c r="O150" i="1" s="1"/>
  <c r="O67" i="1"/>
  <c r="O50" i="1"/>
  <c r="O126" i="1" s="1"/>
  <c r="O51" i="1"/>
  <c r="O127" i="1" s="1"/>
  <c r="O52" i="1"/>
  <c r="O148" i="1" s="1"/>
  <c r="O97" i="1"/>
  <c r="O96" i="1"/>
  <c r="M78" i="1"/>
  <c r="O74" i="1"/>
  <c r="O153" i="1" s="1"/>
  <c r="M68" i="1"/>
  <c r="O64" i="1"/>
  <c r="O128" i="1" s="1"/>
  <c r="M53" i="1"/>
  <c r="O49" i="1"/>
  <c r="M41" i="1"/>
  <c r="O38" i="1"/>
  <c r="O122" i="1" s="1"/>
  <c r="O39" i="1"/>
  <c r="O123" i="1" s="1"/>
  <c r="O40" i="1"/>
  <c r="O124" i="1" s="1"/>
  <c r="O37" i="1"/>
  <c r="Q37" i="1"/>
  <c r="Q121" i="1" s="1"/>
  <c r="O112" i="1" l="1"/>
  <c r="O113" i="1"/>
  <c r="O179" i="1"/>
  <c r="O125" i="1"/>
  <c r="M132" i="1"/>
  <c r="M129" i="1"/>
  <c r="M151" i="1"/>
  <c r="M156" i="1"/>
  <c r="M180" i="1"/>
  <c r="M183" i="1"/>
  <c r="P37" i="1"/>
  <c r="P121" i="1" s="1"/>
  <c r="O121" i="1"/>
  <c r="M184" i="1" l="1"/>
  <c r="M134" i="1"/>
  <c r="M133" i="1"/>
  <c r="M157" i="1"/>
  <c r="M158" i="1"/>
  <c r="M185" i="1"/>
  <c r="V6" i="1"/>
  <c r="V5" i="1"/>
  <c r="V4" i="1"/>
  <c r="V3" i="1"/>
  <c r="Q104" i="1" l="1"/>
  <c r="Q103" i="1"/>
  <c r="Q74" i="1"/>
  <c r="Q153" i="1" s="1"/>
  <c r="U78" i="1" l="1"/>
  <c r="P74" i="1" l="1"/>
  <c r="P153" i="1" s="1"/>
  <c r="U68" i="1" l="1"/>
  <c r="U53" i="1" l="1"/>
  <c r="U41" i="1"/>
  <c r="U112" i="1" l="1"/>
  <c r="U133" i="1"/>
  <c r="U184" i="1"/>
  <c r="U157" i="1"/>
  <c r="N224" i="1"/>
  <c r="L224" i="1"/>
  <c r="K224" i="1"/>
  <c r="T223" i="1"/>
  <c r="S223" i="1"/>
  <c r="R223" i="1"/>
  <c r="N223" i="1"/>
  <c r="L223" i="1"/>
  <c r="K223" i="1"/>
  <c r="J223" i="1"/>
  <c r="Q219" i="1"/>
  <c r="O219" i="1"/>
  <c r="Q213" i="1"/>
  <c r="O213" i="1"/>
  <c r="Q217" i="1"/>
  <c r="O217" i="1"/>
  <c r="Q220" i="1"/>
  <c r="O220" i="1"/>
  <c r="Q216" i="1"/>
  <c r="O216" i="1"/>
  <c r="Q214" i="1"/>
  <c r="O214" i="1"/>
  <c r="P217" i="1" l="1"/>
  <c r="O223" i="1"/>
  <c r="Q223" i="1"/>
  <c r="O224" i="1"/>
  <c r="Q224" i="1"/>
  <c r="K225" i="1"/>
  <c r="P219" i="1"/>
  <c r="P213" i="1"/>
  <c r="P220" i="1"/>
  <c r="P214" i="1"/>
  <c r="P216" i="1"/>
  <c r="P224" i="1" l="1"/>
  <c r="O225" i="1" s="1"/>
  <c r="P223" i="1"/>
  <c r="V29" i="1" l="1"/>
  <c r="V28" i="1"/>
  <c r="Q111" i="1" l="1"/>
  <c r="Q110" i="1"/>
  <c r="Q108" i="1"/>
  <c r="Q107" i="1"/>
  <c r="Q106" i="1"/>
  <c r="Q101" i="1"/>
  <c r="Q100" i="1"/>
  <c r="Q77" i="1"/>
  <c r="Q182" i="1" s="1"/>
  <c r="Q76" i="1"/>
  <c r="Q155" i="1" s="1"/>
  <c r="Q75" i="1"/>
  <c r="Q154" i="1" s="1"/>
  <c r="P107" i="1" l="1"/>
  <c r="P108" i="1"/>
  <c r="P110" i="1"/>
  <c r="P111" i="1"/>
  <c r="P100" i="1"/>
  <c r="P101" i="1"/>
  <c r="P104" i="1"/>
  <c r="A182" i="1"/>
  <c r="L179" i="1"/>
  <c r="K179" i="1"/>
  <c r="J179" i="1"/>
  <c r="A179" i="1"/>
  <c r="A155" i="1"/>
  <c r="A154" i="1"/>
  <c r="A153" i="1"/>
  <c r="A150" i="1"/>
  <c r="A149" i="1"/>
  <c r="L148" i="1"/>
  <c r="K148" i="1"/>
  <c r="J148" i="1"/>
  <c r="A148" i="1"/>
  <c r="A131" i="1"/>
  <c r="A128" i="1" l="1"/>
  <c r="A127" i="1"/>
  <c r="A126" i="1"/>
  <c r="A125" i="1"/>
  <c r="A124" i="1"/>
  <c r="A123" i="1" l="1"/>
  <c r="A122" i="1"/>
  <c r="L121" i="1"/>
  <c r="K121" i="1"/>
  <c r="J121" i="1"/>
  <c r="A121" i="1"/>
  <c r="Q40" i="1" l="1"/>
  <c r="Q124" i="1" s="1"/>
  <c r="T183" i="1"/>
  <c r="S183" i="1"/>
  <c r="R183" i="1"/>
  <c r="N183" i="1"/>
  <c r="L183" i="1"/>
  <c r="K183" i="1"/>
  <c r="J183" i="1"/>
  <c r="T180" i="1"/>
  <c r="S180" i="1"/>
  <c r="R180" i="1"/>
  <c r="N180" i="1"/>
  <c r="L180" i="1"/>
  <c r="K180" i="1"/>
  <c r="J180" i="1"/>
  <c r="T156" i="1"/>
  <c r="S156" i="1"/>
  <c r="R156" i="1"/>
  <c r="N156" i="1"/>
  <c r="L156" i="1"/>
  <c r="K156" i="1"/>
  <c r="J156" i="1"/>
  <c r="T151" i="1"/>
  <c r="S151" i="1"/>
  <c r="R151" i="1"/>
  <c r="N151" i="1"/>
  <c r="L151" i="1"/>
  <c r="K151" i="1"/>
  <c r="J151" i="1"/>
  <c r="T132" i="1"/>
  <c r="S132" i="1"/>
  <c r="R132" i="1"/>
  <c r="N132" i="1"/>
  <c r="L132" i="1"/>
  <c r="K132" i="1"/>
  <c r="J132" i="1"/>
  <c r="Q99" i="1"/>
  <c r="P106" i="1"/>
  <c r="Q97" i="1"/>
  <c r="Q96" i="1"/>
  <c r="T78" i="1"/>
  <c r="S78" i="1"/>
  <c r="R78" i="1"/>
  <c r="N78" i="1"/>
  <c r="L78" i="1"/>
  <c r="K78" i="1"/>
  <c r="J78" i="1"/>
  <c r="T68" i="1"/>
  <c r="S68" i="1"/>
  <c r="R68" i="1"/>
  <c r="N68" i="1"/>
  <c r="L68" i="1"/>
  <c r="K68" i="1"/>
  <c r="J68" i="1"/>
  <c r="Q67" i="1"/>
  <c r="Q66" i="1"/>
  <c r="Q150" i="1" s="1"/>
  <c r="Q65" i="1"/>
  <c r="Q149" i="1" s="1"/>
  <c r="Q64" i="1"/>
  <c r="Q128" i="1" s="1"/>
  <c r="T53" i="1"/>
  <c r="S53" i="1"/>
  <c r="R53" i="1"/>
  <c r="N53" i="1"/>
  <c r="L53" i="1"/>
  <c r="K53" i="1"/>
  <c r="J53" i="1"/>
  <c r="Q52" i="1"/>
  <c r="Q148" i="1" s="1"/>
  <c r="Q51" i="1"/>
  <c r="Q127" i="1" s="1"/>
  <c r="Q50" i="1"/>
  <c r="Q126" i="1" s="1"/>
  <c r="Q49" i="1"/>
  <c r="K41" i="1"/>
  <c r="Q39" i="1"/>
  <c r="Q123" i="1" s="1"/>
  <c r="Q38" i="1"/>
  <c r="Q122" i="1" s="1"/>
  <c r="T41" i="1"/>
  <c r="S41" i="1"/>
  <c r="R41" i="1"/>
  <c r="N41" i="1"/>
  <c r="L41" i="1"/>
  <c r="J41" i="1"/>
  <c r="P96" i="1" l="1"/>
  <c r="Q112" i="1"/>
  <c r="Q113" i="1"/>
  <c r="Q179" i="1"/>
  <c r="Q125" i="1"/>
  <c r="V78" i="1"/>
  <c r="V53" i="1"/>
  <c r="S193" i="1"/>
  <c r="S195" i="1" s="1"/>
  <c r="V41" i="1"/>
  <c r="O68" i="1"/>
  <c r="T193" i="1"/>
  <c r="T195" i="1" s="1"/>
  <c r="V68" i="1"/>
  <c r="P97" i="1"/>
  <c r="J194" i="1"/>
  <c r="T157" i="1"/>
  <c r="Q68" i="1"/>
  <c r="P50" i="1"/>
  <c r="P126" i="1" s="1"/>
  <c r="P51" i="1"/>
  <c r="P127" i="1" s="1"/>
  <c r="P52" i="1"/>
  <c r="P148" i="1" s="1"/>
  <c r="P66" i="1"/>
  <c r="P150" i="1" s="1"/>
  <c r="P67" i="1"/>
  <c r="P99" i="1"/>
  <c r="N157" i="1"/>
  <c r="L184" i="1"/>
  <c r="J157" i="1"/>
  <c r="L157" i="1"/>
  <c r="R157" i="1"/>
  <c r="K158" i="1"/>
  <c r="N158" i="1"/>
  <c r="S157" i="1"/>
  <c r="N185" i="1"/>
  <c r="S184" i="1"/>
  <c r="O183" i="1"/>
  <c r="O180" i="1"/>
  <c r="O156" i="1"/>
  <c r="O132" i="1"/>
  <c r="Q53" i="1"/>
  <c r="P75" i="1"/>
  <c r="P154" i="1" s="1"/>
  <c r="P76" i="1"/>
  <c r="P155" i="1" s="1"/>
  <c r="P103" i="1"/>
  <c r="Q183" i="1"/>
  <c r="Q156" i="1"/>
  <c r="Q132" i="1"/>
  <c r="L158" i="1"/>
  <c r="P40" i="1"/>
  <c r="P124" i="1" s="1"/>
  <c r="O41" i="1"/>
  <c r="J184" i="1"/>
  <c r="L185" i="1"/>
  <c r="R184" i="1"/>
  <c r="T184" i="1"/>
  <c r="N129" i="1"/>
  <c r="N133" i="1" s="1"/>
  <c r="K129" i="1"/>
  <c r="K133" i="1" s="1"/>
  <c r="S129" i="1"/>
  <c r="S133" i="1" s="1"/>
  <c r="L129" i="1"/>
  <c r="L133" i="1" s="1"/>
  <c r="R129" i="1"/>
  <c r="R133" i="1" s="1"/>
  <c r="T129" i="1"/>
  <c r="T133" i="1" s="1"/>
  <c r="P64" i="1"/>
  <c r="P128" i="1" s="1"/>
  <c r="J129" i="1"/>
  <c r="J133" i="1" s="1"/>
  <c r="P39" i="1"/>
  <c r="P123" i="1" s="1"/>
  <c r="O78" i="1"/>
  <c r="Q41" i="1"/>
  <c r="P49" i="1"/>
  <c r="P38" i="1"/>
  <c r="P122" i="1" s="1"/>
  <c r="O53" i="1"/>
  <c r="P65" i="1"/>
  <c r="P149" i="1" s="1"/>
  <c r="P77" i="1"/>
  <c r="P182" i="1" s="1"/>
  <c r="K114" i="1"/>
  <c r="Q78" i="1"/>
  <c r="K157" i="1"/>
  <c r="N184" i="1"/>
  <c r="K185" i="1"/>
  <c r="K184" i="1"/>
  <c r="P113" i="1" l="1"/>
  <c r="P112" i="1"/>
  <c r="P179" i="1"/>
  <c r="P180" i="1" s="1"/>
  <c r="P125" i="1"/>
  <c r="Q180" i="1"/>
  <c r="J193" i="1"/>
  <c r="H194" i="1"/>
  <c r="Q151" i="1"/>
  <c r="K186" i="1"/>
  <c r="K159" i="1"/>
  <c r="Q129" i="1"/>
  <c r="Q134" i="1" s="1"/>
  <c r="K134" i="1"/>
  <c r="P183" i="1"/>
  <c r="P156" i="1"/>
  <c r="P132" i="1"/>
  <c r="O184" i="1"/>
  <c r="O185" i="1"/>
  <c r="O151" i="1"/>
  <c r="O129" i="1"/>
  <c r="N134" i="1"/>
  <c r="L134" i="1"/>
  <c r="P53" i="1"/>
  <c r="P41" i="1"/>
  <c r="P78" i="1"/>
  <c r="P68" i="1"/>
  <c r="K135" i="1" l="1"/>
  <c r="O133" i="1"/>
  <c r="O134" i="1"/>
  <c r="Q184" i="1"/>
  <c r="Q185" i="1"/>
  <c r="O114" i="1"/>
  <c r="L194" i="1"/>
  <c r="L193" i="1" s="1"/>
  <c r="L195" i="1" s="1"/>
  <c r="Q133" i="1"/>
  <c r="H193" i="1"/>
  <c r="J195" i="1"/>
  <c r="P151" i="1"/>
  <c r="P157" i="1" s="1"/>
  <c r="Q158" i="1"/>
  <c r="Q157" i="1"/>
  <c r="P129" i="1"/>
  <c r="P134" i="1" s="1"/>
  <c r="P185" i="1"/>
  <c r="O186" i="1" s="1"/>
  <c r="P184" i="1"/>
  <c r="O158" i="1"/>
  <c r="O157" i="1"/>
  <c r="O194" i="1" l="1"/>
  <c r="V194" i="1" s="1"/>
  <c r="O135" i="1"/>
  <c r="O193" i="1"/>
  <c r="H195" i="1"/>
  <c r="Q194" i="1" s="1"/>
  <c r="P133" i="1"/>
  <c r="P158" i="1"/>
  <c r="O159" i="1" s="1"/>
  <c r="O195" i="1" l="1"/>
  <c r="Q193" i="1"/>
  <c r="Q195" i="1" s="1"/>
</calcChain>
</file>

<file path=xl/sharedStrings.xml><?xml version="1.0" encoding="utf-8"?>
<sst xmlns="http://schemas.openxmlformats.org/spreadsheetml/2006/main" count="445" uniqueCount="185">
  <si>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</si>
  <si>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</si>
  <si>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</si>
  <si>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</si>
  <si>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</si>
  <si>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</si>
  <si>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</si>
  <si>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</si>
  <si>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</si>
  <si>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</si>
  <si>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</si>
  <si>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</si>
  <si>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</si>
  <si>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</si>
  <si>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</si>
  <si>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</si>
  <si>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</si>
  <si>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</si>
  <si>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</si>
  <si>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</si>
  <si>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</si>
  <si>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</si>
  <si>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</si>
  <si>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</si>
  <si>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</si>
  <si>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</si>
  <si>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</si>
  <si>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</si>
  <si>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</si>
  <si>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</si>
  <si>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</si>
  <si>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</si>
  <si>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</si>
  <si>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</si>
  <si>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</si>
  <si>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</si>
  <si>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</si>
  <si>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</si>
  <si>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</si>
  <si>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</si>
  <si>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</si>
  <si>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</si>
  <si>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</si>
  <si>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</si>
  <si>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</si>
  <si>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</si>
  <si>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</si>
  <si>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</si>
  <si>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</si>
  <si>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</si>
  <si>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</si>
  <si>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</si>
  <si>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</si>
  <si>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</si>
  <si>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</si>
  <si>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</si>
  <si>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</si>
  <si>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</si>
  <si>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</si>
  <si>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</si>
  <si>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</si>
  <si>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</si>
  <si>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</si>
  <si>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</si>
  <si>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</si>
  <si>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</si>
  <si>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</si>
  <si>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</si>
  <si>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</si>
  <si>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</si>
  <si>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</si>
  <si>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</si>
  <si>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</si>
  <si>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</si>
  <si>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</si>
  <si>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</si>
  <si>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</si>
  <si>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</si>
  <si>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</si>
  <si>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</si>
  <si>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</si>
  <si>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</si>
  <si>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</si>
  <si>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</si>
  <si>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</si>
  <si>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</si>
  <si>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</si>
  <si>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</si>
  <si>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</si>
  <si>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</si>
  <si>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</si>
  <si>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</si>
  <si>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</si>
  <si>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</si>
  <si>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</si>
  <si>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</si>
  <si>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</si>
  <si>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</si>
  <si>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DA</t>
  </si>
  <si>
    <t>DSIN</t>
  </si>
  <si>
    <t>DISCIPLINE DE SPECIALITATE  (DS)</t>
  </si>
  <si>
    <t>PLAN DE ÎNVĂŢĂMÂNT  valabil începând din anul universitar 2019-2020</t>
  </si>
  <si>
    <t>exemple</t>
  </si>
  <si>
    <t xml:space="preserve">acest tabel nu se modifica </t>
  </si>
  <si>
    <t>FACULTATEA DE MATEMATICĂ ȘI INFORMATICĂ</t>
  </si>
  <si>
    <r>
      <t xml:space="preserve">Domeniul: </t>
    </r>
    <r>
      <rPr>
        <b/>
        <sz val="10"/>
        <color indexed="8"/>
        <rFont val="Times New Roman"/>
        <family val="1"/>
        <charset val="238"/>
      </rPr>
      <t>Matematică</t>
    </r>
  </si>
  <si>
    <r>
      <t xml:space="preserve">Titlul absolventului: </t>
    </r>
    <r>
      <rPr>
        <b/>
        <sz val="10"/>
        <color indexed="8"/>
        <rFont val="Times New Roman"/>
        <family val="1"/>
        <charset val="238"/>
      </rPr>
      <t>MASTER</t>
    </r>
  </si>
  <si>
    <t>0</t>
  </si>
  <si>
    <t>L</t>
  </si>
  <si>
    <t>P</t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</si>
  <si>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Matematici Avansate</t>
    </r>
  </si>
  <si>
    <r>
      <t xml:space="preserve">Limba de predare: </t>
    </r>
    <r>
      <rPr>
        <b/>
        <sz val="10"/>
        <color indexed="8"/>
        <rFont val="Times New Roman"/>
        <family val="1"/>
        <charset val="238"/>
      </rPr>
      <t>Engleză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</si>
  <si>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învățământ urmează în proporție de 60 %  planurile de învățământ de la următoarele universități: Universitatea Tor Vergata Roma, Universitatea Heidelberg, Universitatea Bari.</t>
    </r>
  </si>
  <si>
    <t>MME3111</t>
  </si>
  <si>
    <t>Topologie algebrică (Algebraic Topology)</t>
  </si>
  <si>
    <t>MME3103</t>
  </si>
  <si>
    <t>Teoria grupurilor și aplicații (Group Theory and Applications)</t>
  </si>
  <si>
    <t>MME3104</t>
  </si>
  <si>
    <t>Metode matematice în mecanica fluidelor (Mathematical Methods in Fluid Mechanics)</t>
  </si>
  <si>
    <t>MME3110</t>
  </si>
  <si>
    <t>Analiză complexă uni și multi dimensională (Complex Analysis in One and Higher Dimensions )</t>
  </si>
  <si>
    <t>MME3106</t>
  </si>
  <si>
    <t>Ecuații neliniare cu derivate parțiale (Nonlinear Partial Differential Equations)</t>
  </si>
  <si>
    <t>MME3107</t>
  </si>
  <si>
    <t>Tehnici de aproximare a funcțiilor (Techniques for Approximating Functions)</t>
  </si>
  <si>
    <t>MME3024</t>
  </si>
  <si>
    <t>Analiză neliniară aplicată (Nonlinear Applied Analysis)</t>
  </si>
  <si>
    <t>MMX3221</t>
  </si>
  <si>
    <t>Curs opțional 1 (Optional  1)</t>
  </si>
  <si>
    <t>MME3112</t>
  </si>
  <si>
    <t>Algebră omologică (Homological Algebra)</t>
  </si>
  <si>
    <t>MMX3222</t>
  </si>
  <si>
    <t>Curs opțional 2 (Optional  2)</t>
  </si>
  <si>
    <t>MMX3223</t>
  </si>
  <si>
    <t>Curs opțional 3 (Optional 3)</t>
  </si>
  <si>
    <t>MMR3041</t>
  </si>
  <si>
    <t>Metodologia cercetării științifice de matematică (Methodology of Scientific Research in Mathematics)</t>
  </si>
  <si>
    <t>MMX3224</t>
  </si>
  <si>
    <t>Curs opțional 4 (Optional  4)</t>
  </si>
  <si>
    <t>MMX3225</t>
  </si>
  <si>
    <t>Curs opțional 5 (Optional  5)</t>
  </si>
  <si>
    <t>MME7002</t>
  </si>
  <si>
    <t>Practică (Specialty Practice)</t>
  </si>
  <si>
    <t>CURS OPȚIONAL 1 (An I, Semestrul 2) - (MMX3221)</t>
  </si>
  <si>
    <t>MME3122</t>
  </si>
  <si>
    <t>Reprezentări ale grupurilor și algebrelor (Representations of Groups and Algebras)</t>
  </si>
  <si>
    <t>MME3123</t>
  </si>
  <si>
    <t>Teoria categoriilor (Category Theory)</t>
  </si>
  <si>
    <t>CURS OPȚIONAL 2 (An II, Semestrul 3)- (MMX3222)</t>
  </si>
  <si>
    <t>MME3402</t>
  </si>
  <si>
    <t>Analiza operatorilor multivoci și aplicații (Multi-valued Analysis and Applications)</t>
  </si>
  <si>
    <t>MME3403</t>
  </si>
  <si>
    <t>Optimizare vectorială (Vector Optimization)</t>
  </si>
  <si>
    <t>MME3005</t>
  </si>
  <si>
    <t>Analiză funcțională aplicată (Applied Functional Analysis)</t>
  </si>
  <si>
    <t>CURS OPȚIONAL 3 (An II, Semestrul 3)- (MMX3223)</t>
  </si>
  <si>
    <t>MME3109</t>
  </si>
  <si>
    <t>Teoria calitativă a ecuațiilor diferențiale ordinare (Qualitative Theory of Ordinary Differential Equations)</t>
  </si>
  <si>
    <t>MME3405</t>
  </si>
  <si>
    <t xml:space="preserve">Introducere în mecanica fluidelor calculatorie (Introduction in Computational Fluid Dynamics) </t>
  </si>
  <si>
    <t>CURS OPȚIONAL 4 (An II, Semestrul 4)- (MMX3224)</t>
  </si>
  <si>
    <t>CURS OPȚIONAL 5 (An II, Semestrul 4)- (MMX3225)</t>
  </si>
  <si>
    <t>MME3116</t>
  </si>
  <si>
    <t>Teoria potențialului și probleme eliptice pe frontieră (Potential Theory and Elliptic Boundary Value Problems)</t>
  </si>
  <si>
    <t>MME3115</t>
  </si>
  <si>
    <t>Teoria geometrică a funcțiilor de mai multe variabile complexe (Geometric Function Theory in Several Complex Variables)</t>
  </si>
  <si>
    <t>MME3119</t>
  </si>
  <si>
    <t>Sisteme de reacție difuzie (Reaction-Diffusion Systems)</t>
  </si>
  <si>
    <t>MME3406</t>
  </si>
  <si>
    <t>Capitole speciale de analiză numerică (Special Chapters of Numerical Analysis)</t>
  </si>
  <si>
    <t>MME3407</t>
  </si>
  <si>
    <t>Modele stochastice (Stochastic Models)</t>
  </si>
  <si>
    <t xml:space="preserve">Sem. 2: Se alege  o disciplină din pachetul: MMX3221 </t>
  </si>
  <si>
    <t>Sem. 3: Se alege  o disciplină din pachetul: MMX3222</t>
  </si>
  <si>
    <t>Sem. 3: Se alege  o disciplină din pachetul: MMX3223</t>
  </si>
  <si>
    <t>Sem. 4: Se alege  o disciplină din pachetul: MMX3224</t>
  </si>
  <si>
    <t>Sem. 4: Se alege  o disciplină din pachetul: MMX3225</t>
  </si>
  <si>
    <r>
      <rPr>
        <b/>
        <sz val="10"/>
        <color indexed="8"/>
        <rFont val="Times New Roman"/>
        <family val="1"/>
      </rPr>
      <t xml:space="preserve">81 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</si>
  <si>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39 </t>
    </r>
    <r>
      <rPr>
        <sz val="10"/>
        <color indexed="8"/>
        <rFont val="Times New Roman"/>
        <family val="1"/>
      </rPr>
      <t xml:space="preserve"> de credite la disciplinele opţionale;</t>
    </r>
  </si>
  <si>
    <t>va rog sa completati</t>
  </si>
  <si>
    <t>În contul a cel mult o disciplina opţionala generala, studentul are dreptul să aleagă o disciplina de la alte specializări ale facultăţilor din Universitatea „Babeş-Bolyai”, respectând condiționările din planurile de învățământ ale respectivelor specializări.</t>
  </si>
  <si>
    <t>MME3042</t>
  </si>
  <si>
    <t>Elaborarea lucrării de disertație (Elaboration of the Dissertation Thesis)</t>
  </si>
  <si>
    <t>Practică in specialitate (Specialty Practice)</t>
  </si>
  <si>
    <t>Practica de specialitate se desfasoara pe parcursul a 36 de 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</si>
</sst>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/>
    </xf>
    <xf numFmtId="0" fontId="13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2" fontId="1" fillId="5" borderId="9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2" fontId="1" fillId="5" borderId="10" xfId="0" applyNumberFormat="1" applyFont="1" applyFill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>
      <alignment horizont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Protection="1">
      <protection locked="0"/>
    </xf>
    <xf numFmtId="0" fontId="0" fillId="0" borderId="0" xfId="0"/>
    <xf numFmtId="0" fontId="2" fillId="5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4"/>
  <sheetViews>
    <sheetView tabSelected="1" view="pageLayout" topLeftCell="A10" zoomScaleNormal="100" workbookViewId="0">
      <selection activeCell="A19" sqref="A19:K19"/>
    </sheetView>
  </sheetViews>
  <sheetFormatPr defaultColWidth="9.109375" defaultRowHeight="13.2" x14ac:dyDescent="0.25"/>
  <cols>
    <col min="1" max="1" width="9.33203125" style="1" customWidth="1"/>
    <col min="2" max="2" width="7.109375" style="1" customWidth="1"/>
    <col min="3" max="3" width="7.33203125" style="1" customWidth="1"/>
    <col min="4" max="5" width="4.6640625" style="1" customWidth="1"/>
    <col min="6" max="6" width="4.5546875" style="1" customWidth="1"/>
    <col min="7" max="7" width="8.109375" style="1" customWidth="1"/>
    <col min="8" max="8" width="8.33203125" style="1" customWidth="1"/>
    <col min="9" max="9" width="5.88671875" style="1" customWidth="1"/>
    <col min="10" max="10" width="7.33203125" style="1" customWidth="1"/>
    <col min="11" max="11" width="5.6640625" style="1" customWidth="1"/>
    <col min="12" max="13" width="6.109375" style="1" customWidth="1"/>
    <col min="14" max="14" width="5.5546875" style="1" customWidth="1"/>
    <col min="15" max="19" width="6" style="1" customWidth="1"/>
    <col min="20" max="20" width="6.109375" style="1" customWidth="1"/>
    <col min="21" max="21" width="9.33203125" style="1" customWidth="1"/>
    <col min="22" max="27" width="9.109375" style="1"/>
    <col min="28" max="28" width="11" style="1" customWidth="1"/>
    <col min="29" max="16384" width="9.109375" style="1"/>
  </cols>
  <sheetData>
    <row r="1" spans="1:29" ht="15.75" customHeight="1" x14ac:dyDescent="0.25">
      <c r="A1" s="173" t="s">
        <v>101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N1" s="178" t="s">
        <v>19</v>
      </c>
      <c r="O1" s="178"/>
      <c r="P1" s="178"/>
      <c r="Q1" s="178"/>
      <c r="R1" s="178"/>
      <c r="S1" s="178"/>
      <c r="T1" s="178"/>
      <c r="U1" s="178"/>
    </row>
    <row r="2" spans="1:29" ht="6.7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29" ht="39" customHeight="1" x14ac:dyDescent="0.2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N3" s="184"/>
      <c r="O3" s="185"/>
      <c r="P3" s="188" t="s">
        <v>35</v>
      </c>
      <c r="Q3" s="189"/>
      <c r="R3" s="190"/>
      <c r="S3" s="188" t="s">
        <v>36</v>
      </c>
      <c r="T3" s="189"/>
      <c r="U3" s="190"/>
      <c r="V3" s="214" t="str">
        <f>IF(P4&gt;=12,"Corect","Trebuie alocate cel puțin 12 de ore pe săptămână")</f>
        <v>Corect</v>
      </c>
      <c r="W3" s="215"/>
      <c r="X3" s="215"/>
      <c r="Y3" s="215"/>
      <c r="Z3" s="1">
        <f>(16*3)*14+16*12</f>
        <v>864</v>
      </c>
    </row>
    <row r="4" spans="1:29" ht="17.25" customHeight="1" x14ac:dyDescent="0.25">
      <c r="A4" s="180" t="s">
        <v>104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N4" s="186" t="s">
        <v>14</v>
      </c>
      <c r="O4" s="187"/>
      <c r="P4" s="195">
        <v>16</v>
      </c>
      <c r="Q4" s="196"/>
      <c r="R4" s="197"/>
      <c r="S4" s="195">
        <v>16</v>
      </c>
      <c r="T4" s="196"/>
      <c r="U4" s="197"/>
      <c r="V4" s="214" t="str">
        <f>IF(S4&gt;=12,"Corect","Trebuie alocate cel puțin 12 de ore pe săptămână")</f>
        <v>Corect</v>
      </c>
      <c r="W4" s="215"/>
      <c r="X4" s="215"/>
      <c r="Y4" s="215"/>
    </row>
    <row r="5" spans="1:29" ht="16.5" customHeight="1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N5" s="186" t="s">
        <v>15</v>
      </c>
      <c r="O5" s="187"/>
      <c r="P5" s="195">
        <v>16</v>
      </c>
      <c r="Q5" s="196"/>
      <c r="R5" s="197"/>
      <c r="S5" s="195">
        <v>16</v>
      </c>
      <c r="T5" s="196"/>
      <c r="U5" s="197"/>
      <c r="V5" s="214" t="str">
        <f>IF(P5&gt;=12,"Corect","Trebuie alocate cel puțin 12 de ore pe săptămână")</f>
        <v>Corect</v>
      </c>
      <c r="W5" s="215"/>
      <c r="X5" s="215"/>
      <c r="Y5" s="215"/>
    </row>
    <row r="6" spans="1:29" ht="15" customHeight="1" x14ac:dyDescent="0.25">
      <c r="A6" s="206" t="s">
        <v>105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N6" s="207"/>
      <c r="O6" s="207"/>
      <c r="P6" s="198"/>
      <c r="Q6" s="198"/>
      <c r="R6" s="198"/>
      <c r="S6" s="198"/>
      <c r="T6" s="198"/>
      <c r="U6" s="198"/>
      <c r="V6" s="214" t="str">
        <f>IF(S5&gt;=12,"Corect","Trebuie alocate cel puțin 12 de ore pe săptămână")</f>
        <v>Corect</v>
      </c>
      <c r="W6" s="215"/>
      <c r="X6" s="215"/>
      <c r="Y6" s="215"/>
    </row>
    <row r="7" spans="1:29" ht="18" customHeight="1" x14ac:dyDescent="0.25">
      <c r="A7" s="208" t="s">
        <v>110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</row>
    <row r="8" spans="1:29" ht="18.75" customHeight="1" x14ac:dyDescent="0.25">
      <c r="A8" s="191" t="s">
        <v>111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N8" s="179" t="s">
        <v>94</v>
      </c>
      <c r="O8" s="179"/>
      <c r="P8" s="179"/>
      <c r="Q8" s="179"/>
      <c r="R8" s="179"/>
      <c r="S8" s="179"/>
      <c r="T8" s="179"/>
      <c r="U8" s="179"/>
    </row>
    <row r="9" spans="1:29" ht="15" customHeight="1" x14ac:dyDescent="0.25">
      <c r="A9" s="183" t="s">
        <v>106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N9" s="179"/>
      <c r="O9" s="179"/>
      <c r="P9" s="179"/>
      <c r="Q9" s="179"/>
      <c r="R9" s="179"/>
      <c r="S9" s="179"/>
      <c r="T9" s="179"/>
      <c r="U9" s="179"/>
      <c r="V9" s="216" t="s">
        <v>91</v>
      </c>
      <c r="W9" s="217"/>
      <c r="X9" s="217"/>
      <c r="Y9" s="218"/>
      <c r="Z9" s="218"/>
      <c r="AA9" s="218"/>
    </row>
    <row r="10" spans="1:29" ht="16.5" customHeight="1" x14ac:dyDescent="0.25">
      <c r="A10" s="183" t="s">
        <v>60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N10" s="179"/>
      <c r="O10" s="179"/>
      <c r="P10" s="179"/>
      <c r="Q10" s="179"/>
      <c r="R10" s="179"/>
      <c r="S10" s="179"/>
      <c r="T10" s="179"/>
      <c r="U10" s="179"/>
      <c r="V10" s="217"/>
      <c r="W10" s="217"/>
      <c r="X10" s="217"/>
      <c r="Y10" s="218"/>
      <c r="Z10" s="218"/>
      <c r="AA10" s="218"/>
    </row>
    <row r="11" spans="1:29" x14ac:dyDescent="0.25">
      <c r="A11" s="183" t="s">
        <v>17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N11" s="179"/>
      <c r="O11" s="179"/>
      <c r="P11" s="179"/>
      <c r="Q11" s="179"/>
      <c r="R11" s="179"/>
      <c r="S11" s="179"/>
      <c r="T11" s="179"/>
      <c r="U11" s="179"/>
      <c r="V11" s="217"/>
      <c r="W11" s="217"/>
      <c r="X11" s="217"/>
      <c r="Y11" s="218"/>
      <c r="Z11" s="218"/>
      <c r="AA11" s="218"/>
    </row>
    <row r="12" spans="1:29" ht="10.5" customHeight="1" x14ac:dyDescent="0.2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N12" s="2"/>
      <c r="O12" s="2"/>
      <c r="P12" s="2"/>
      <c r="Q12" s="2"/>
      <c r="R12" s="2"/>
      <c r="S12" s="2"/>
      <c r="V12" s="217"/>
      <c r="W12" s="217"/>
      <c r="X12" s="217"/>
      <c r="Y12" s="218"/>
      <c r="Z12" s="218"/>
      <c r="AA12" s="218"/>
    </row>
    <row r="13" spans="1:29" x14ac:dyDescent="0.25">
      <c r="A13" s="199" t="s">
        <v>65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N13" s="209" t="s">
        <v>20</v>
      </c>
      <c r="O13" s="209"/>
      <c r="P13" s="209"/>
      <c r="Q13" s="209"/>
      <c r="R13" s="209"/>
      <c r="S13" s="209"/>
      <c r="T13" s="209"/>
      <c r="U13" s="209"/>
    </row>
    <row r="14" spans="1:29" ht="12.75" customHeight="1" x14ac:dyDescent="0.25">
      <c r="A14" s="199" t="s">
        <v>61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N14" s="179" t="s">
        <v>172</v>
      </c>
      <c r="O14" s="179"/>
      <c r="P14" s="179"/>
      <c r="Q14" s="179"/>
      <c r="R14" s="179"/>
      <c r="S14" s="179"/>
      <c r="T14" s="179"/>
      <c r="U14" s="179"/>
    </row>
    <row r="15" spans="1:29" ht="12.75" customHeight="1" x14ac:dyDescent="0.25">
      <c r="A15" s="191" t="s">
        <v>177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N15" s="179" t="s">
        <v>173</v>
      </c>
      <c r="O15" s="179"/>
      <c r="P15" s="179"/>
      <c r="Q15" s="179"/>
      <c r="R15" s="179"/>
      <c r="S15" s="179"/>
      <c r="T15" s="179"/>
      <c r="U15" s="179"/>
      <c r="V15" s="219" t="s">
        <v>92</v>
      </c>
      <c r="W15" s="219"/>
      <c r="X15" s="219"/>
      <c r="Y15" s="219"/>
      <c r="Z15" s="219"/>
      <c r="AA15" s="219"/>
    </row>
    <row r="16" spans="1:29" ht="12.75" customHeight="1" x14ac:dyDescent="0.3">
      <c r="A16" s="191" t="s">
        <v>178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N16" s="179" t="s">
        <v>174</v>
      </c>
      <c r="O16" s="179"/>
      <c r="P16" s="179"/>
      <c r="Q16" s="179"/>
      <c r="R16" s="179"/>
      <c r="S16" s="179"/>
      <c r="T16" s="179"/>
      <c r="U16" s="179"/>
      <c r="V16" s="219"/>
      <c r="W16" s="219"/>
      <c r="X16" s="219"/>
      <c r="Y16" s="219"/>
      <c r="Z16" s="219"/>
      <c r="AA16" s="219"/>
      <c r="AB16" s="223"/>
      <c r="AC16" s="224"/>
    </row>
    <row r="17" spans="1:28" ht="12.75" customHeight="1" x14ac:dyDescent="0.25">
      <c r="A17" s="183" t="s">
        <v>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N17" s="58" t="s">
        <v>175</v>
      </c>
      <c r="O17" s="58"/>
      <c r="P17" s="58"/>
      <c r="Q17" s="58"/>
      <c r="R17" s="58"/>
      <c r="S17" s="58"/>
      <c r="T17" s="58"/>
      <c r="U17" s="58"/>
      <c r="V17" s="219"/>
      <c r="W17" s="219"/>
      <c r="X17" s="219"/>
      <c r="Y17" s="219"/>
      <c r="Z17" s="219"/>
      <c r="AA17" s="219"/>
    </row>
    <row r="18" spans="1:28" ht="14.25" customHeight="1" x14ac:dyDescent="0.25">
      <c r="A18" s="191" t="s">
        <v>66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N18" s="58" t="s">
        <v>176</v>
      </c>
      <c r="O18" s="58"/>
      <c r="P18" s="58"/>
      <c r="Q18" s="58"/>
      <c r="R18" s="58"/>
      <c r="S18" s="58"/>
      <c r="T18" s="58"/>
      <c r="U18" s="58"/>
    </row>
    <row r="19" spans="1:28" x14ac:dyDescent="0.25">
      <c r="A19" s="199" t="s">
        <v>184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N19" s="58"/>
      <c r="O19" s="58"/>
      <c r="P19" s="58"/>
      <c r="Q19" s="58"/>
      <c r="R19" s="58"/>
      <c r="S19" s="58"/>
      <c r="T19" s="58"/>
      <c r="U19" s="58"/>
    </row>
    <row r="20" spans="1:28" ht="7.5" customHeight="1" x14ac:dyDescent="0.25">
      <c r="A20" s="179" t="s">
        <v>79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N20" s="2"/>
      <c r="O20" s="2"/>
      <c r="P20" s="2"/>
      <c r="Q20" s="2"/>
      <c r="R20" s="2"/>
      <c r="S20" s="2"/>
      <c r="V20" s="220" t="s">
        <v>93</v>
      </c>
      <c r="W20" s="221"/>
      <c r="X20" s="221"/>
      <c r="Y20" s="221"/>
      <c r="Z20" s="221"/>
      <c r="AA20" s="221"/>
      <c r="AB20" s="222"/>
    </row>
    <row r="21" spans="1:28" ht="15" customHeight="1" x14ac:dyDescent="0.2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N21" s="58" t="s">
        <v>180</v>
      </c>
      <c r="O21" s="58"/>
      <c r="P21" s="58"/>
      <c r="Q21" s="58"/>
      <c r="R21" s="58"/>
      <c r="S21" s="58"/>
      <c r="T21" s="58"/>
      <c r="U21" s="58"/>
      <c r="V21" s="222"/>
      <c r="W21" s="222"/>
      <c r="X21" s="222"/>
      <c r="Y21" s="222"/>
      <c r="Z21" s="222"/>
      <c r="AA21" s="222"/>
      <c r="AB21" s="222"/>
    </row>
    <row r="22" spans="1:28" ht="15" customHeight="1" x14ac:dyDescent="0.2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N22" s="58"/>
      <c r="O22" s="58"/>
      <c r="P22" s="58"/>
      <c r="Q22" s="58"/>
      <c r="R22" s="58"/>
      <c r="S22" s="58"/>
      <c r="T22" s="58"/>
      <c r="U22" s="58"/>
      <c r="V22" s="222"/>
      <c r="W22" s="222"/>
      <c r="X22" s="222"/>
      <c r="Y22" s="222"/>
      <c r="Z22" s="222"/>
      <c r="AA22" s="222"/>
      <c r="AB22" s="222"/>
    </row>
    <row r="23" spans="1:28" ht="24" customHeight="1" x14ac:dyDescent="0.2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N23" s="58"/>
      <c r="O23" s="58"/>
      <c r="P23" s="58"/>
      <c r="Q23" s="58"/>
      <c r="R23" s="58"/>
      <c r="S23" s="58"/>
      <c r="T23" s="58"/>
      <c r="U23" s="58"/>
      <c r="V23" s="222"/>
      <c r="W23" s="222"/>
      <c r="X23" s="222"/>
      <c r="Y23" s="222"/>
      <c r="Z23" s="222"/>
      <c r="AA23" s="222"/>
      <c r="AB23" s="222"/>
    </row>
    <row r="24" spans="1:28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ht="13.2" customHeight="1" x14ac:dyDescent="0.25">
      <c r="A25" s="124" t="s">
        <v>16</v>
      </c>
      <c r="B25" s="124"/>
      <c r="C25" s="124"/>
      <c r="D25" s="124"/>
      <c r="E25" s="124"/>
      <c r="F25" s="124"/>
      <c r="G25" s="124"/>
      <c r="N25" s="58" t="s">
        <v>112</v>
      </c>
      <c r="O25" s="58"/>
      <c r="P25" s="58"/>
      <c r="Q25" s="58"/>
      <c r="R25" s="58"/>
      <c r="S25" s="58"/>
      <c r="T25" s="58"/>
      <c r="U25" s="58"/>
    </row>
    <row r="26" spans="1:28" ht="26.25" customHeight="1" x14ac:dyDescent="0.25">
      <c r="A26" s="4"/>
      <c r="B26" s="188" t="s">
        <v>2</v>
      </c>
      <c r="C26" s="190"/>
      <c r="D26" s="188" t="s">
        <v>3</v>
      </c>
      <c r="E26" s="189"/>
      <c r="F26" s="190"/>
      <c r="G26" s="168" t="s">
        <v>18</v>
      </c>
      <c r="H26" s="168" t="s">
        <v>10</v>
      </c>
      <c r="I26" s="188" t="s">
        <v>4</v>
      </c>
      <c r="J26" s="189"/>
      <c r="K26" s="190"/>
      <c r="N26" s="58"/>
      <c r="O26" s="58"/>
      <c r="P26" s="58"/>
      <c r="Q26" s="58"/>
      <c r="R26" s="58"/>
      <c r="S26" s="58"/>
      <c r="T26" s="58"/>
      <c r="U26" s="58"/>
    </row>
    <row r="27" spans="1:28" ht="14.25" customHeight="1" x14ac:dyDescent="0.25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69"/>
      <c r="H27" s="169"/>
      <c r="I27" s="5" t="s">
        <v>11</v>
      </c>
      <c r="J27" s="5" t="s">
        <v>12</v>
      </c>
      <c r="K27" s="5" t="s">
        <v>13</v>
      </c>
      <c r="N27" s="58"/>
      <c r="O27" s="58"/>
      <c r="P27" s="58"/>
      <c r="Q27" s="58"/>
      <c r="R27" s="58"/>
      <c r="S27" s="58"/>
      <c r="T27" s="58"/>
      <c r="U27" s="58"/>
    </row>
    <row r="28" spans="1:28" ht="17.25" customHeight="1" x14ac:dyDescent="0.25">
      <c r="A28" s="6" t="s">
        <v>14</v>
      </c>
      <c r="B28" s="7">
        <v>14</v>
      </c>
      <c r="C28" s="7">
        <v>14</v>
      </c>
      <c r="D28" s="22">
        <v>3</v>
      </c>
      <c r="E28" s="22">
        <v>3</v>
      </c>
      <c r="F28" s="22">
        <v>2</v>
      </c>
      <c r="G28" s="22">
        <v>0</v>
      </c>
      <c r="H28" s="33" t="s">
        <v>107</v>
      </c>
      <c r="I28" s="22">
        <v>3</v>
      </c>
      <c r="J28" s="22">
        <v>1</v>
      </c>
      <c r="K28" s="22">
        <v>12</v>
      </c>
      <c r="N28" s="58"/>
      <c r="O28" s="58"/>
      <c r="P28" s="58"/>
      <c r="Q28" s="58"/>
      <c r="R28" s="58"/>
      <c r="S28" s="58"/>
      <c r="T28" s="58"/>
      <c r="U28" s="58"/>
      <c r="V28" s="213" t="str">
        <f t="shared" ref="V28" si="0">IF(SUM(B28:K28)=52,"Corect","Suma trebuie să fie 52")</f>
        <v>Corect</v>
      </c>
      <c r="W28" s="213"/>
    </row>
    <row r="29" spans="1:28" ht="15" customHeight="1" x14ac:dyDescent="0.25">
      <c r="A29" s="6" t="s">
        <v>15</v>
      </c>
      <c r="B29" s="7">
        <v>14</v>
      </c>
      <c r="C29" s="7">
        <v>12</v>
      </c>
      <c r="D29" s="22">
        <v>3</v>
      </c>
      <c r="E29" s="22">
        <v>3</v>
      </c>
      <c r="F29" s="22">
        <v>2</v>
      </c>
      <c r="G29" s="22">
        <v>2</v>
      </c>
      <c r="H29" s="22">
        <v>2</v>
      </c>
      <c r="I29" s="22">
        <v>3</v>
      </c>
      <c r="J29" s="22">
        <v>1</v>
      </c>
      <c r="K29" s="22">
        <v>10</v>
      </c>
      <c r="N29" s="58"/>
      <c r="O29" s="58"/>
      <c r="P29" s="58"/>
      <c r="Q29" s="58"/>
      <c r="R29" s="58"/>
      <c r="S29" s="58"/>
      <c r="T29" s="58"/>
      <c r="U29" s="58"/>
      <c r="V29" s="213" t="str">
        <f t="shared" ref="V29" si="1">IF(SUM(B29:K29)=52,"Corect","Suma trebuie să fie 52")</f>
        <v>Corect</v>
      </c>
      <c r="W29" s="213"/>
    </row>
    <row r="30" spans="1:28" ht="15.75" customHeight="1" x14ac:dyDescent="0.2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N30" s="58"/>
      <c r="O30" s="58"/>
      <c r="P30" s="58"/>
      <c r="Q30" s="58"/>
      <c r="R30" s="58"/>
      <c r="S30" s="58"/>
      <c r="T30" s="58"/>
      <c r="U30" s="58"/>
    </row>
    <row r="31" spans="1:28" ht="21" customHeight="1" x14ac:dyDescent="0.25">
      <c r="N31" s="45"/>
      <c r="O31" s="45"/>
      <c r="P31" s="45"/>
      <c r="Q31" s="45"/>
      <c r="R31" s="45"/>
      <c r="S31" s="45"/>
      <c r="T31" s="45"/>
      <c r="U31" s="45"/>
    </row>
    <row r="32" spans="1:28" ht="20.25" customHeight="1" x14ac:dyDescent="0.25">
      <c r="A32" s="181" t="s">
        <v>21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</row>
    <row r="33" spans="1:24" ht="20.25" hidden="1" customHeight="1" x14ac:dyDescent="0.25">
      <c r="O33" s="9"/>
      <c r="P33" s="10" t="s">
        <v>37</v>
      </c>
      <c r="Q33" s="10" t="s">
        <v>38</v>
      </c>
      <c r="R33" s="10" t="s">
        <v>39</v>
      </c>
      <c r="S33" s="10" t="s">
        <v>98</v>
      </c>
      <c r="T33" s="10" t="s">
        <v>99</v>
      </c>
      <c r="U33" s="10"/>
    </row>
    <row r="34" spans="1:24" ht="20.25" customHeight="1" x14ac:dyDescent="0.25">
      <c r="A34" s="83" t="s">
        <v>42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4" ht="27.75" customHeight="1" x14ac:dyDescent="0.25">
      <c r="A35" s="171" t="s">
        <v>27</v>
      </c>
      <c r="B35" s="152" t="s">
        <v>26</v>
      </c>
      <c r="C35" s="153"/>
      <c r="D35" s="153"/>
      <c r="E35" s="153"/>
      <c r="F35" s="153"/>
      <c r="G35" s="153"/>
      <c r="H35" s="153"/>
      <c r="I35" s="154"/>
      <c r="J35" s="168" t="s">
        <v>40</v>
      </c>
      <c r="K35" s="175" t="s">
        <v>24</v>
      </c>
      <c r="L35" s="176"/>
      <c r="M35" s="176"/>
      <c r="N35" s="177"/>
      <c r="O35" s="175" t="s">
        <v>41</v>
      </c>
      <c r="P35" s="192"/>
      <c r="Q35" s="193"/>
      <c r="R35" s="175" t="s">
        <v>23</v>
      </c>
      <c r="S35" s="176"/>
      <c r="T35" s="177"/>
      <c r="U35" s="194" t="s">
        <v>22</v>
      </c>
    </row>
    <row r="36" spans="1:24" ht="20.25" customHeight="1" x14ac:dyDescent="0.25">
      <c r="A36" s="172"/>
      <c r="B36" s="155"/>
      <c r="C36" s="156"/>
      <c r="D36" s="156"/>
      <c r="E36" s="156"/>
      <c r="F36" s="156"/>
      <c r="G36" s="156"/>
      <c r="H36" s="156"/>
      <c r="I36" s="157"/>
      <c r="J36" s="169"/>
      <c r="K36" s="5" t="s">
        <v>28</v>
      </c>
      <c r="L36" s="5" t="s">
        <v>29</v>
      </c>
      <c r="M36" s="5" t="s">
        <v>108</v>
      </c>
      <c r="N36" s="5" t="s">
        <v>109</v>
      </c>
      <c r="O36" s="5" t="s">
        <v>34</v>
      </c>
      <c r="P36" s="5" t="s">
        <v>7</v>
      </c>
      <c r="Q36" s="5" t="s">
        <v>31</v>
      </c>
      <c r="R36" s="5" t="s">
        <v>32</v>
      </c>
      <c r="S36" s="5" t="s">
        <v>28</v>
      </c>
      <c r="T36" s="5" t="s">
        <v>33</v>
      </c>
      <c r="U36" s="169"/>
    </row>
    <row r="37" spans="1:24" ht="20.25" customHeight="1" x14ac:dyDescent="0.25">
      <c r="A37" s="41" t="s">
        <v>113</v>
      </c>
      <c r="B37" s="200" t="s">
        <v>114</v>
      </c>
      <c r="C37" s="201"/>
      <c r="D37" s="201"/>
      <c r="E37" s="201"/>
      <c r="F37" s="201"/>
      <c r="G37" s="201"/>
      <c r="H37" s="201"/>
      <c r="I37" s="202"/>
      <c r="J37" s="11">
        <v>8</v>
      </c>
      <c r="K37" s="11">
        <v>2</v>
      </c>
      <c r="L37" s="11">
        <v>1</v>
      </c>
      <c r="M37" s="11">
        <v>0</v>
      </c>
      <c r="N37" s="11">
        <v>1</v>
      </c>
      <c r="O37" s="16">
        <f>K37+L37+N37+M37</f>
        <v>4</v>
      </c>
      <c r="P37" s="17">
        <f>Q37-O37</f>
        <v>10</v>
      </c>
      <c r="Q37" s="17">
        <f>ROUND(PRODUCT(J37,25)/14,0)</f>
        <v>14</v>
      </c>
      <c r="R37" s="21" t="s">
        <v>32</v>
      </c>
      <c r="S37" s="11"/>
      <c r="T37" s="22"/>
      <c r="U37" s="11" t="s">
        <v>37</v>
      </c>
    </row>
    <row r="38" spans="1:24" ht="20.25" customHeight="1" x14ac:dyDescent="0.25">
      <c r="A38" s="41" t="s">
        <v>115</v>
      </c>
      <c r="B38" s="200" t="s">
        <v>116</v>
      </c>
      <c r="C38" s="201"/>
      <c r="D38" s="201"/>
      <c r="E38" s="201"/>
      <c r="F38" s="201"/>
      <c r="G38" s="201"/>
      <c r="H38" s="201"/>
      <c r="I38" s="202"/>
      <c r="J38" s="11">
        <v>7</v>
      </c>
      <c r="K38" s="11">
        <v>2</v>
      </c>
      <c r="L38" s="11">
        <v>1</v>
      </c>
      <c r="M38" s="11">
        <v>0</v>
      </c>
      <c r="N38" s="11">
        <v>1</v>
      </c>
      <c r="O38" s="16">
        <f t="shared" ref="O38:O40" si="2">K38+L38+N38+M38</f>
        <v>4</v>
      </c>
      <c r="P38" s="17">
        <f t="shared" ref="P38:P40" si="3">Q38-O38</f>
        <v>9</v>
      </c>
      <c r="Q38" s="17">
        <f t="shared" ref="Q38:Q40" si="4">ROUND(PRODUCT(J38,25)/14,0)</f>
        <v>13</v>
      </c>
      <c r="R38" s="21" t="s">
        <v>32</v>
      </c>
      <c r="S38" s="11"/>
      <c r="T38" s="22"/>
      <c r="U38" s="11" t="s">
        <v>37</v>
      </c>
    </row>
    <row r="39" spans="1:24" ht="27" customHeight="1" x14ac:dyDescent="0.25">
      <c r="A39" s="41" t="s">
        <v>117</v>
      </c>
      <c r="B39" s="203" t="s">
        <v>118</v>
      </c>
      <c r="C39" s="204"/>
      <c r="D39" s="204"/>
      <c r="E39" s="204"/>
      <c r="F39" s="204"/>
      <c r="G39" s="204"/>
      <c r="H39" s="204"/>
      <c r="I39" s="205"/>
      <c r="J39" s="11">
        <v>7</v>
      </c>
      <c r="K39" s="11">
        <v>2</v>
      </c>
      <c r="L39" s="11">
        <v>1</v>
      </c>
      <c r="M39" s="11">
        <v>0</v>
      </c>
      <c r="N39" s="11">
        <v>1</v>
      </c>
      <c r="O39" s="16">
        <f t="shared" si="2"/>
        <v>4</v>
      </c>
      <c r="P39" s="17">
        <f t="shared" si="3"/>
        <v>9</v>
      </c>
      <c r="Q39" s="17">
        <f t="shared" si="4"/>
        <v>13</v>
      </c>
      <c r="R39" s="21"/>
      <c r="S39" s="11" t="s">
        <v>28</v>
      </c>
      <c r="T39" s="22"/>
      <c r="U39" s="11" t="s">
        <v>37</v>
      </c>
    </row>
    <row r="40" spans="1:24" ht="27.75" customHeight="1" x14ac:dyDescent="0.25">
      <c r="A40" s="41" t="s">
        <v>119</v>
      </c>
      <c r="B40" s="203" t="s">
        <v>120</v>
      </c>
      <c r="C40" s="204"/>
      <c r="D40" s="204"/>
      <c r="E40" s="204"/>
      <c r="F40" s="204"/>
      <c r="G40" s="204"/>
      <c r="H40" s="204"/>
      <c r="I40" s="205"/>
      <c r="J40" s="11">
        <v>8</v>
      </c>
      <c r="K40" s="11">
        <v>2</v>
      </c>
      <c r="L40" s="11">
        <v>1</v>
      </c>
      <c r="M40" s="11">
        <v>0</v>
      </c>
      <c r="N40" s="11">
        <v>1</v>
      </c>
      <c r="O40" s="16">
        <f t="shared" si="2"/>
        <v>4</v>
      </c>
      <c r="P40" s="17">
        <f t="shared" si="3"/>
        <v>10</v>
      </c>
      <c r="Q40" s="17">
        <f t="shared" si="4"/>
        <v>14</v>
      </c>
      <c r="R40" s="21" t="s">
        <v>32</v>
      </c>
      <c r="S40" s="11"/>
      <c r="T40" s="22"/>
      <c r="U40" s="11" t="s">
        <v>37</v>
      </c>
    </row>
    <row r="41" spans="1:24" x14ac:dyDescent="0.25">
      <c r="A41" s="18" t="s">
        <v>25</v>
      </c>
      <c r="B41" s="88"/>
      <c r="C41" s="89"/>
      <c r="D41" s="89"/>
      <c r="E41" s="89"/>
      <c r="F41" s="89"/>
      <c r="G41" s="89"/>
      <c r="H41" s="89"/>
      <c r="I41" s="90"/>
      <c r="J41" s="18">
        <f t="shared" ref="J41:Q41" si="5">SUM(J37:J40)</f>
        <v>30</v>
      </c>
      <c r="K41" s="18">
        <f t="shared" si="5"/>
        <v>8</v>
      </c>
      <c r="L41" s="18">
        <f t="shared" si="5"/>
        <v>4</v>
      </c>
      <c r="M41" s="18">
        <f t="shared" si="5"/>
        <v>0</v>
      </c>
      <c r="N41" s="18">
        <f t="shared" si="5"/>
        <v>4</v>
      </c>
      <c r="O41" s="18">
        <f t="shared" si="5"/>
        <v>16</v>
      </c>
      <c r="P41" s="18">
        <f t="shared" si="5"/>
        <v>38</v>
      </c>
      <c r="Q41" s="18">
        <f t="shared" si="5"/>
        <v>54</v>
      </c>
      <c r="R41" s="18">
        <f>COUNTIF(R37:R40,"E")</f>
        <v>3</v>
      </c>
      <c r="S41" s="18">
        <f>COUNTIF(S37:S40,"C")</f>
        <v>1</v>
      </c>
      <c r="T41" s="18">
        <f>COUNTIF(T37:T40,"VP")</f>
        <v>0</v>
      </c>
      <c r="U41" s="42">
        <f>COUNTA(U37:U40)</f>
        <v>4</v>
      </c>
      <c r="V41" s="210" t="str">
        <f>IF(R41&gt;=SUM(S41:T41),"Corect","E trebuie să fie cel puțin egal cu C+VP")</f>
        <v>Corect</v>
      </c>
      <c r="W41" s="211"/>
      <c r="X41" s="211"/>
    </row>
    <row r="42" spans="1:24" ht="11.25" customHeight="1" x14ac:dyDescent="0.25"/>
    <row r="43" spans="1:24" ht="11.25" customHeight="1" x14ac:dyDescent="0.25"/>
    <row r="44" spans="1:24" ht="11.25" customHeight="1" x14ac:dyDescent="0.25"/>
    <row r="45" spans="1:24" ht="11.25" customHeight="1" x14ac:dyDescent="0.25"/>
    <row r="46" spans="1:24" ht="16.5" customHeight="1" x14ac:dyDescent="0.25">
      <c r="A46" s="83" t="s">
        <v>43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</row>
    <row r="47" spans="1:24" ht="26.25" customHeight="1" x14ac:dyDescent="0.25">
      <c r="A47" s="171" t="s">
        <v>27</v>
      </c>
      <c r="B47" s="152" t="s">
        <v>26</v>
      </c>
      <c r="C47" s="153"/>
      <c r="D47" s="153"/>
      <c r="E47" s="153"/>
      <c r="F47" s="153"/>
      <c r="G47" s="153"/>
      <c r="H47" s="153"/>
      <c r="I47" s="154"/>
      <c r="J47" s="168" t="s">
        <v>40</v>
      </c>
      <c r="K47" s="175" t="s">
        <v>24</v>
      </c>
      <c r="L47" s="176"/>
      <c r="M47" s="176"/>
      <c r="N47" s="177"/>
      <c r="O47" s="175" t="s">
        <v>41</v>
      </c>
      <c r="P47" s="192"/>
      <c r="Q47" s="193"/>
      <c r="R47" s="175" t="s">
        <v>23</v>
      </c>
      <c r="S47" s="176"/>
      <c r="T47" s="177"/>
      <c r="U47" s="194" t="s">
        <v>22</v>
      </c>
    </row>
    <row r="48" spans="1:24" ht="12.75" customHeight="1" x14ac:dyDescent="0.25">
      <c r="A48" s="172"/>
      <c r="B48" s="155"/>
      <c r="C48" s="156"/>
      <c r="D48" s="156"/>
      <c r="E48" s="156"/>
      <c r="F48" s="156"/>
      <c r="G48" s="156"/>
      <c r="H48" s="156"/>
      <c r="I48" s="157"/>
      <c r="J48" s="169"/>
      <c r="K48" s="5" t="s">
        <v>28</v>
      </c>
      <c r="L48" s="5" t="s">
        <v>29</v>
      </c>
      <c r="M48" s="5" t="s">
        <v>108</v>
      </c>
      <c r="N48" s="5" t="s">
        <v>109</v>
      </c>
      <c r="O48" s="5" t="s">
        <v>34</v>
      </c>
      <c r="P48" s="5" t="s">
        <v>7</v>
      </c>
      <c r="Q48" s="5" t="s">
        <v>31</v>
      </c>
      <c r="R48" s="5" t="s">
        <v>32</v>
      </c>
      <c r="S48" s="5" t="s">
        <v>28</v>
      </c>
      <c r="T48" s="5" t="s">
        <v>33</v>
      </c>
      <c r="U48" s="169"/>
    </row>
    <row r="49" spans="1:24" ht="30.75" customHeight="1" x14ac:dyDescent="0.25">
      <c r="A49" s="41" t="s">
        <v>121</v>
      </c>
      <c r="B49" s="203" t="s">
        <v>122</v>
      </c>
      <c r="C49" s="204"/>
      <c r="D49" s="204"/>
      <c r="E49" s="204"/>
      <c r="F49" s="204"/>
      <c r="G49" s="204"/>
      <c r="H49" s="204"/>
      <c r="I49" s="205"/>
      <c r="J49" s="11">
        <v>8</v>
      </c>
      <c r="K49" s="11">
        <v>2</v>
      </c>
      <c r="L49" s="11">
        <v>1</v>
      </c>
      <c r="M49" s="11">
        <v>0</v>
      </c>
      <c r="N49" s="11">
        <v>1</v>
      </c>
      <c r="O49" s="16">
        <f>K49+L49+N49+M49</f>
        <v>4</v>
      </c>
      <c r="P49" s="17">
        <f>Q49-O49</f>
        <v>10</v>
      </c>
      <c r="Q49" s="17">
        <f>ROUND(PRODUCT(J49,25)/14,0)</f>
        <v>14</v>
      </c>
      <c r="R49" s="21" t="s">
        <v>32</v>
      </c>
      <c r="S49" s="11"/>
      <c r="T49" s="22"/>
      <c r="U49" s="11" t="s">
        <v>37</v>
      </c>
    </row>
    <row r="50" spans="1:24" ht="21.75" customHeight="1" x14ac:dyDescent="0.25">
      <c r="A50" s="41" t="s">
        <v>123</v>
      </c>
      <c r="B50" s="203" t="s">
        <v>124</v>
      </c>
      <c r="C50" s="204"/>
      <c r="D50" s="204"/>
      <c r="E50" s="204"/>
      <c r="F50" s="204"/>
      <c r="G50" s="204"/>
      <c r="H50" s="204"/>
      <c r="I50" s="205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16">
        <f t="shared" ref="O50:O52" si="6">K50+L50+N50+M50</f>
        <v>4</v>
      </c>
      <c r="P50" s="17">
        <f t="shared" ref="P50:P52" si="7">Q50-O50</f>
        <v>10</v>
      </c>
      <c r="Q50" s="17">
        <f t="shared" ref="Q50:Q52" si="8">ROUND(PRODUCT(J50,25)/14,0)</f>
        <v>14</v>
      </c>
      <c r="R50" s="21"/>
      <c r="S50" s="11" t="s">
        <v>28</v>
      </c>
      <c r="T50" s="22"/>
      <c r="U50" s="11" t="s">
        <v>37</v>
      </c>
    </row>
    <row r="51" spans="1:24" x14ac:dyDescent="0.25">
      <c r="A51" s="41" t="s">
        <v>125</v>
      </c>
      <c r="B51" s="200" t="s">
        <v>126</v>
      </c>
      <c r="C51" s="201"/>
      <c r="D51" s="201"/>
      <c r="E51" s="201"/>
      <c r="F51" s="201"/>
      <c r="G51" s="201"/>
      <c r="H51" s="201"/>
      <c r="I51" s="202"/>
      <c r="J51" s="11">
        <v>7</v>
      </c>
      <c r="K51" s="11">
        <v>2</v>
      </c>
      <c r="L51" s="11">
        <v>1</v>
      </c>
      <c r="M51" s="11">
        <v>0</v>
      </c>
      <c r="N51" s="11">
        <v>1</v>
      </c>
      <c r="O51" s="16">
        <f t="shared" si="6"/>
        <v>4</v>
      </c>
      <c r="P51" s="17">
        <f t="shared" si="7"/>
        <v>9</v>
      </c>
      <c r="Q51" s="17">
        <f t="shared" si="8"/>
        <v>13</v>
      </c>
      <c r="R51" s="21"/>
      <c r="S51" s="11"/>
      <c r="T51" s="22" t="s">
        <v>33</v>
      </c>
      <c r="U51" s="11" t="s">
        <v>37</v>
      </c>
    </row>
    <row r="52" spans="1:24" x14ac:dyDescent="0.25">
      <c r="A52" s="41" t="s">
        <v>127</v>
      </c>
      <c r="B52" s="200" t="s">
        <v>128</v>
      </c>
      <c r="C52" s="201"/>
      <c r="D52" s="201"/>
      <c r="E52" s="201"/>
      <c r="F52" s="201"/>
      <c r="G52" s="201"/>
      <c r="H52" s="201"/>
      <c r="I52" s="202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16">
        <f t="shared" si="6"/>
        <v>4</v>
      </c>
      <c r="P52" s="17">
        <f t="shared" si="7"/>
        <v>9</v>
      </c>
      <c r="Q52" s="17">
        <f t="shared" si="8"/>
        <v>13</v>
      </c>
      <c r="R52" s="21" t="s">
        <v>32</v>
      </c>
      <c r="S52" s="11"/>
      <c r="T52" s="22"/>
      <c r="U52" s="11" t="s">
        <v>38</v>
      </c>
    </row>
    <row r="53" spans="1:24" x14ac:dyDescent="0.25">
      <c r="A53" s="18" t="s">
        <v>25</v>
      </c>
      <c r="B53" s="88"/>
      <c r="C53" s="89"/>
      <c r="D53" s="89"/>
      <c r="E53" s="89"/>
      <c r="F53" s="89"/>
      <c r="G53" s="89"/>
      <c r="H53" s="89"/>
      <c r="I53" s="90"/>
      <c r="J53" s="18">
        <f t="shared" ref="J53:Q53" si="9">SUM(J49:J52)</f>
        <v>30</v>
      </c>
      <c r="K53" s="18">
        <f t="shared" si="9"/>
        <v>8</v>
      </c>
      <c r="L53" s="18">
        <f t="shared" si="9"/>
        <v>4</v>
      </c>
      <c r="M53" s="18">
        <f t="shared" si="9"/>
        <v>0</v>
      </c>
      <c r="N53" s="18">
        <f t="shared" si="9"/>
        <v>4</v>
      </c>
      <c r="O53" s="18">
        <f t="shared" si="9"/>
        <v>16</v>
      </c>
      <c r="P53" s="18">
        <f t="shared" si="9"/>
        <v>38</v>
      </c>
      <c r="Q53" s="18">
        <f t="shared" si="9"/>
        <v>54</v>
      </c>
      <c r="R53" s="18">
        <f>COUNTIF(R49:R52,"E")</f>
        <v>2</v>
      </c>
      <c r="S53" s="18">
        <f>COUNTIF(S49:S52,"C")</f>
        <v>1</v>
      </c>
      <c r="T53" s="18">
        <f>COUNTIF(T49:T52,"VP")</f>
        <v>1</v>
      </c>
      <c r="U53" s="42">
        <f>COUNTA(U49:U52)</f>
        <v>4</v>
      </c>
      <c r="V53" s="210" t="str">
        <f>IF(R53&gt;=SUM(S53:T53),"Corect","E trebuie să fie cel puțin egal cu C+VP")</f>
        <v>Corect</v>
      </c>
      <c r="W53" s="211"/>
      <c r="X53" s="211"/>
    </row>
    <row r="54" spans="1:24" ht="11.25" customHeight="1" x14ac:dyDescent="0.25"/>
    <row r="55" spans="1:24" ht="11.25" customHeight="1" x14ac:dyDescent="0.25"/>
    <row r="56" spans="1:24" ht="11.25" customHeight="1" x14ac:dyDescent="0.25"/>
    <row r="57" spans="1:24" ht="11.25" customHeight="1" x14ac:dyDescent="0.25"/>
    <row r="58" spans="1:24" ht="11.25" customHeight="1" x14ac:dyDescent="0.25"/>
    <row r="59" spans="1:24" ht="11.25" customHeight="1" x14ac:dyDescent="0.25"/>
    <row r="60" spans="1:24" ht="11.25" customHeight="1" x14ac:dyDescent="0.25"/>
    <row r="61" spans="1:24" ht="18" customHeight="1" x14ac:dyDescent="0.25">
      <c r="A61" s="83" t="s">
        <v>44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</row>
    <row r="62" spans="1:24" ht="25.5" customHeight="1" x14ac:dyDescent="0.25">
      <c r="A62" s="171" t="s">
        <v>27</v>
      </c>
      <c r="B62" s="152" t="s">
        <v>26</v>
      </c>
      <c r="C62" s="153"/>
      <c r="D62" s="153"/>
      <c r="E62" s="153"/>
      <c r="F62" s="153"/>
      <c r="G62" s="153"/>
      <c r="H62" s="153"/>
      <c r="I62" s="154"/>
      <c r="J62" s="168" t="s">
        <v>40</v>
      </c>
      <c r="K62" s="175" t="s">
        <v>24</v>
      </c>
      <c r="L62" s="176"/>
      <c r="M62" s="176"/>
      <c r="N62" s="177"/>
      <c r="O62" s="175" t="s">
        <v>41</v>
      </c>
      <c r="P62" s="192"/>
      <c r="Q62" s="193"/>
      <c r="R62" s="175" t="s">
        <v>23</v>
      </c>
      <c r="S62" s="176"/>
      <c r="T62" s="177"/>
      <c r="U62" s="194" t="s">
        <v>22</v>
      </c>
    </row>
    <row r="63" spans="1:24" ht="16.5" customHeight="1" x14ac:dyDescent="0.25">
      <c r="A63" s="172"/>
      <c r="B63" s="155"/>
      <c r="C63" s="156"/>
      <c r="D63" s="156"/>
      <c r="E63" s="156"/>
      <c r="F63" s="156"/>
      <c r="G63" s="156"/>
      <c r="H63" s="156"/>
      <c r="I63" s="157"/>
      <c r="J63" s="169"/>
      <c r="K63" s="5" t="s">
        <v>28</v>
      </c>
      <c r="L63" s="5" t="s">
        <v>29</v>
      </c>
      <c r="M63" s="5" t="s">
        <v>108</v>
      </c>
      <c r="N63" s="5" t="s">
        <v>109</v>
      </c>
      <c r="O63" s="5" t="s">
        <v>34</v>
      </c>
      <c r="P63" s="5" t="s">
        <v>7</v>
      </c>
      <c r="Q63" s="5" t="s">
        <v>31</v>
      </c>
      <c r="R63" s="5" t="s">
        <v>32</v>
      </c>
      <c r="S63" s="5" t="s">
        <v>28</v>
      </c>
      <c r="T63" s="5" t="s">
        <v>33</v>
      </c>
      <c r="U63" s="169"/>
    </row>
    <row r="64" spans="1:24" x14ac:dyDescent="0.25">
      <c r="A64" s="41" t="s">
        <v>129</v>
      </c>
      <c r="B64" s="200" t="s">
        <v>130</v>
      </c>
      <c r="C64" s="201"/>
      <c r="D64" s="201"/>
      <c r="E64" s="201"/>
      <c r="F64" s="201"/>
      <c r="G64" s="201"/>
      <c r="H64" s="201"/>
      <c r="I64" s="202"/>
      <c r="J64" s="11">
        <v>8</v>
      </c>
      <c r="K64" s="11">
        <v>2</v>
      </c>
      <c r="L64" s="11">
        <v>1</v>
      </c>
      <c r="M64" s="11">
        <v>0</v>
      </c>
      <c r="N64" s="11">
        <v>1</v>
      </c>
      <c r="O64" s="16">
        <f>K64+L64+N64+M64</f>
        <v>4</v>
      </c>
      <c r="P64" s="17">
        <f>Q64-O64</f>
        <v>10</v>
      </c>
      <c r="Q64" s="17">
        <f>ROUND(PRODUCT(J64,25)/14,0)</f>
        <v>14</v>
      </c>
      <c r="R64" s="21" t="s">
        <v>32</v>
      </c>
      <c r="S64" s="11"/>
      <c r="T64" s="22"/>
      <c r="U64" s="11" t="s">
        <v>37</v>
      </c>
    </row>
    <row r="65" spans="1:24" x14ac:dyDescent="0.25">
      <c r="A65" s="41" t="s">
        <v>131</v>
      </c>
      <c r="B65" s="200" t="s">
        <v>132</v>
      </c>
      <c r="C65" s="201"/>
      <c r="D65" s="201"/>
      <c r="E65" s="201"/>
      <c r="F65" s="201"/>
      <c r="G65" s="201"/>
      <c r="H65" s="201"/>
      <c r="I65" s="202"/>
      <c r="J65" s="11">
        <v>7</v>
      </c>
      <c r="K65" s="11">
        <v>2</v>
      </c>
      <c r="L65" s="11">
        <v>1</v>
      </c>
      <c r="M65" s="11">
        <v>0</v>
      </c>
      <c r="N65" s="11">
        <v>1</v>
      </c>
      <c r="O65" s="16">
        <f t="shared" ref="O65:O67" si="10">K65+L65+N65+M65</f>
        <v>4</v>
      </c>
      <c r="P65" s="17">
        <f t="shared" ref="P65:P67" si="11">Q65-O65</f>
        <v>9</v>
      </c>
      <c r="Q65" s="17">
        <f t="shared" ref="Q65:Q67" si="12">ROUND(PRODUCT(J65,25)/14,0)</f>
        <v>13</v>
      </c>
      <c r="R65" s="21"/>
      <c r="S65" s="11"/>
      <c r="T65" s="22" t="s">
        <v>33</v>
      </c>
      <c r="U65" s="11" t="s">
        <v>38</v>
      </c>
    </row>
    <row r="66" spans="1:24" x14ac:dyDescent="0.25">
      <c r="A66" s="41" t="s">
        <v>133</v>
      </c>
      <c r="B66" s="200" t="s">
        <v>134</v>
      </c>
      <c r="C66" s="201"/>
      <c r="D66" s="201"/>
      <c r="E66" s="201"/>
      <c r="F66" s="201"/>
      <c r="G66" s="201"/>
      <c r="H66" s="201"/>
      <c r="I66" s="202"/>
      <c r="J66" s="11">
        <v>7</v>
      </c>
      <c r="K66" s="11">
        <v>2</v>
      </c>
      <c r="L66" s="11">
        <v>1</v>
      </c>
      <c r="M66" s="11">
        <v>0</v>
      </c>
      <c r="N66" s="11">
        <v>1</v>
      </c>
      <c r="O66" s="16">
        <f t="shared" si="10"/>
        <v>4</v>
      </c>
      <c r="P66" s="17">
        <f t="shared" si="11"/>
        <v>9</v>
      </c>
      <c r="Q66" s="17">
        <f t="shared" si="12"/>
        <v>13</v>
      </c>
      <c r="R66" s="21" t="s">
        <v>32</v>
      </c>
      <c r="S66" s="11"/>
      <c r="T66" s="22"/>
      <c r="U66" s="11" t="s">
        <v>38</v>
      </c>
    </row>
    <row r="67" spans="1:24" ht="26.25" customHeight="1" x14ac:dyDescent="0.25">
      <c r="A67" s="41" t="s">
        <v>135</v>
      </c>
      <c r="B67" s="203" t="s">
        <v>136</v>
      </c>
      <c r="C67" s="204"/>
      <c r="D67" s="204"/>
      <c r="E67" s="204"/>
      <c r="F67" s="204"/>
      <c r="G67" s="204"/>
      <c r="H67" s="204"/>
      <c r="I67" s="205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6">
        <f t="shared" si="10"/>
        <v>4</v>
      </c>
      <c r="P67" s="17">
        <f t="shared" si="11"/>
        <v>10</v>
      </c>
      <c r="Q67" s="17">
        <f t="shared" si="12"/>
        <v>14</v>
      </c>
      <c r="R67" s="21"/>
      <c r="S67" s="11" t="s">
        <v>28</v>
      </c>
      <c r="T67" s="22"/>
      <c r="U67" s="11" t="s">
        <v>39</v>
      </c>
    </row>
    <row r="68" spans="1:24" x14ac:dyDescent="0.25">
      <c r="A68" s="18" t="s">
        <v>25</v>
      </c>
      <c r="B68" s="88"/>
      <c r="C68" s="89"/>
      <c r="D68" s="89"/>
      <c r="E68" s="89"/>
      <c r="F68" s="89"/>
      <c r="G68" s="89"/>
      <c r="H68" s="89"/>
      <c r="I68" s="90"/>
      <c r="J68" s="18">
        <f t="shared" ref="J68:Q68" si="13">SUM(J64:J67)</f>
        <v>30</v>
      </c>
      <c r="K68" s="18">
        <f t="shared" si="13"/>
        <v>8</v>
      </c>
      <c r="L68" s="18">
        <f t="shared" si="13"/>
        <v>4</v>
      </c>
      <c r="M68" s="18">
        <f t="shared" si="13"/>
        <v>0</v>
      </c>
      <c r="N68" s="18">
        <f t="shared" si="13"/>
        <v>4</v>
      </c>
      <c r="O68" s="18">
        <f t="shared" si="13"/>
        <v>16</v>
      </c>
      <c r="P68" s="18">
        <f t="shared" si="13"/>
        <v>38</v>
      </c>
      <c r="Q68" s="18">
        <f t="shared" si="13"/>
        <v>54</v>
      </c>
      <c r="R68" s="18">
        <f>COUNTIF(R64:R67,"E")</f>
        <v>2</v>
      </c>
      <c r="S68" s="18">
        <f>COUNTIF(S64:S67,"C")</f>
        <v>1</v>
      </c>
      <c r="T68" s="18">
        <f>COUNTIF(T64:T67,"VP")</f>
        <v>1</v>
      </c>
      <c r="U68" s="42">
        <f>COUNTA(U64:U67)</f>
        <v>4</v>
      </c>
      <c r="V68" s="210" t="str">
        <f>IF(R68&gt;=SUM(S68:T68),"Corect","E trebuie să fie cel puțin egal cu C+VP")</f>
        <v>Corect</v>
      </c>
      <c r="W68" s="211"/>
      <c r="X68" s="211"/>
    </row>
    <row r="69" spans="1:24" ht="21.75" customHeight="1" x14ac:dyDescent="0.25"/>
    <row r="70" spans="1:24" ht="21.75" customHeight="1" x14ac:dyDescent="0.25"/>
    <row r="71" spans="1:24" ht="18.75" customHeight="1" x14ac:dyDescent="0.25">
      <c r="A71" s="83" t="s">
        <v>45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</row>
    <row r="72" spans="1:24" ht="24.75" customHeight="1" x14ac:dyDescent="0.25">
      <c r="A72" s="171" t="s">
        <v>27</v>
      </c>
      <c r="B72" s="152" t="s">
        <v>26</v>
      </c>
      <c r="C72" s="153"/>
      <c r="D72" s="153"/>
      <c r="E72" s="153"/>
      <c r="F72" s="153"/>
      <c r="G72" s="153"/>
      <c r="H72" s="153"/>
      <c r="I72" s="154"/>
      <c r="J72" s="168" t="s">
        <v>40</v>
      </c>
      <c r="K72" s="175" t="s">
        <v>24</v>
      </c>
      <c r="L72" s="176"/>
      <c r="M72" s="176"/>
      <c r="N72" s="177"/>
      <c r="O72" s="175" t="s">
        <v>41</v>
      </c>
      <c r="P72" s="192"/>
      <c r="Q72" s="193"/>
      <c r="R72" s="175" t="s">
        <v>23</v>
      </c>
      <c r="S72" s="176"/>
      <c r="T72" s="177"/>
      <c r="U72" s="194" t="s">
        <v>22</v>
      </c>
      <c r="V72" s="1">
        <f>162*14+63*12</f>
        <v>3024</v>
      </c>
    </row>
    <row r="73" spans="1:24" x14ac:dyDescent="0.25">
      <c r="A73" s="172"/>
      <c r="B73" s="155"/>
      <c r="C73" s="156"/>
      <c r="D73" s="156"/>
      <c r="E73" s="156"/>
      <c r="F73" s="156"/>
      <c r="G73" s="156"/>
      <c r="H73" s="156"/>
      <c r="I73" s="157"/>
      <c r="J73" s="169"/>
      <c r="K73" s="5" t="s">
        <v>28</v>
      </c>
      <c r="L73" s="5" t="s">
        <v>29</v>
      </c>
      <c r="M73" s="5" t="s">
        <v>108</v>
      </c>
      <c r="N73" s="5" t="s">
        <v>109</v>
      </c>
      <c r="O73" s="5" t="s">
        <v>34</v>
      </c>
      <c r="P73" s="5" t="s">
        <v>7</v>
      </c>
      <c r="Q73" s="5" t="s">
        <v>31</v>
      </c>
      <c r="R73" s="5" t="s">
        <v>32</v>
      </c>
      <c r="S73" s="5" t="s">
        <v>28</v>
      </c>
      <c r="T73" s="5" t="s">
        <v>33</v>
      </c>
      <c r="U73" s="169"/>
    </row>
    <row r="74" spans="1:24" x14ac:dyDescent="0.25">
      <c r="A74" s="41" t="s">
        <v>137</v>
      </c>
      <c r="B74" s="200" t="s">
        <v>138</v>
      </c>
      <c r="C74" s="201"/>
      <c r="D74" s="201"/>
      <c r="E74" s="201"/>
      <c r="F74" s="201"/>
      <c r="G74" s="201"/>
      <c r="H74" s="201"/>
      <c r="I74" s="202"/>
      <c r="J74" s="11">
        <v>9</v>
      </c>
      <c r="K74" s="11">
        <v>2</v>
      </c>
      <c r="L74" s="11">
        <v>1</v>
      </c>
      <c r="M74" s="11">
        <v>0</v>
      </c>
      <c r="N74" s="11">
        <v>1</v>
      </c>
      <c r="O74" s="16">
        <f>K74+L74+N74+M74</f>
        <v>4</v>
      </c>
      <c r="P74" s="17">
        <f>Q74-O74</f>
        <v>15</v>
      </c>
      <c r="Q74" s="17">
        <f>ROUND(PRODUCT(J74,25)/12,0)</f>
        <v>19</v>
      </c>
      <c r="R74" s="21" t="s">
        <v>32</v>
      </c>
      <c r="S74" s="11"/>
      <c r="T74" s="22"/>
      <c r="U74" s="11" t="s">
        <v>38</v>
      </c>
    </row>
    <row r="75" spans="1:24" x14ac:dyDescent="0.25">
      <c r="A75" s="41" t="s">
        <v>139</v>
      </c>
      <c r="B75" s="200" t="s">
        <v>140</v>
      </c>
      <c r="C75" s="201"/>
      <c r="D75" s="201"/>
      <c r="E75" s="201"/>
      <c r="F75" s="201"/>
      <c r="G75" s="201"/>
      <c r="H75" s="201"/>
      <c r="I75" s="202"/>
      <c r="J75" s="11">
        <v>9</v>
      </c>
      <c r="K75" s="11">
        <v>2</v>
      </c>
      <c r="L75" s="11">
        <v>1</v>
      </c>
      <c r="M75" s="11">
        <v>0</v>
      </c>
      <c r="N75" s="11">
        <v>1</v>
      </c>
      <c r="O75" s="16">
        <f t="shared" ref="O75:O77" si="14">K75+L75+N75+M75</f>
        <v>4</v>
      </c>
      <c r="P75" s="17">
        <f t="shared" ref="P75:P77" si="15">Q75-O75</f>
        <v>15</v>
      </c>
      <c r="Q75" s="17">
        <f t="shared" ref="Q75:Q77" si="16">ROUND(PRODUCT(J75,25)/12,0)</f>
        <v>19</v>
      </c>
      <c r="R75" s="21" t="s">
        <v>32</v>
      </c>
      <c r="S75" s="11"/>
      <c r="T75" s="22"/>
      <c r="U75" s="11" t="s">
        <v>38</v>
      </c>
    </row>
    <row r="76" spans="1:24" x14ac:dyDescent="0.25">
      <c r="A76" s="41" t="s">
        <v>181</v>
      </c>
      <c r="B76" s="200" t="s">
        <v>182</v>
      </c>
      <c r="C76" s="201"/>
      <c r="D76" s="201"/>
      <c r="E76" s="201"/>
      <c r="F76" s="201"/>
      <c r="G76" s="201"/>
      <c r="H76" s="201"/>
      <c r="I76" s="202"/>
      <c r="J76" s="11">
        <v>8</v>
      </c>
      <c r="K76" s="11">
        <v>0</v>
      </c>
      <c r="L76" s="11">
        <v>0</v>
      </c>
      <c r="M76" s="11">
        <v>0</v>
      </c>
      <c r="N76" s="11">
        <v>5</v>
      </c>
      <c r="O76" s="16">
        <f t="shared" si="14"/>
        <v>5</v>
      </c>
      <c r="P76" s="17">
        <f t="shared" si="15"/>
        <v>12</v>
      </c>
      <c r="Q76" s="17">
        <f t="shared" si="16"/>
        <v>17</v>
      </c>
      <c r="R76" s="21"/>
      <c r="S76" s="11" t="s">
        <v>28</v>
      </c>
      <c r="T76" s="22"/>
      <c r="U76" s="11" t="s">
        <v>38</v>
      </c>
    </row>
    <row r="77" spans="1:24" x14ac:dyDescent="0.25">
      <c r="A77" s="41" t="s">
        <v>141</v>
      </c>
      <c r="B77" s="200" t="s">
        <v>183</v>
      </c>
      <c r="C77" s="201"/>
      <c r="D77" s="201"/>
      <c r="E77" s="201"/>
      <c r="F77" s="201"/>
      <c r="G77" s="201"/>
      <c r="H77" s="201"/>
      <c r="I77" s="202"/>
      <c r="J77" s="11">
        <v>4</v>
      </c>
      <c r="K77" s="11">
        <v>0</v>
      </c>
      <c r="L77" s="11">
        <v>0</v>
      </c>
      <c r="M77" s="11">
        <v>1</v>
      </c>
      <c r="N77" s="11">
        <v>3</v>
      </c>
      <c r="O77" s="16">
        <f t="shared" si="14"/>
        <v>4</v>
      </c>
      <c r="P77" s="17">
        <f t="shared" si="15"/>
        <v>4</v>
      </c>
      <c r="Q77" s="17">
        <f t="shared" si="16"/>
        <v>8</v>
      </c>
      <c r="R77" s="21"/>
      <c r="S77" s="11" t="s">
        <v>28</v>
      </c>
      <c r="T77" s="22"/>
      <c r="U77" s="11" t="s">
        <v>39</v>
      </c>
    </row>
    <row r="78" spans="1:24" x14ac:dyDescent="0.25">
      <c r="A78" s="18" t="s">
        <v>25</v>
      </c>
      <c r="B78" s="88"/>
      <c r="C78" s="89"/>
      <c r="D78" s="89"/>
      <c r="E78" s="89"/>
      <c r="F78" s="89"/>
      <c r="G78" s="89"/>
      <c r="H78" s="89"/>
      <c r="I78" s="90"/>
      <c r="J78" s="18">
        <f t="shared" ref="J78:Q78" si="17">SUM(J74:J77)</f>
        <v>30</v>
      </c>
      <c r="K78" s="18">
        <f t="shared" si="17"/>
        <v>4</v>
      </c>
      <c r="L78" s="18">
        <f t="shared" si="17"/>
        <v>2</v>
      </c>
      <c r="M78" s="18">
        <f t="shared" si="17"/>
        <v>1</v>
      </c>
      <c r="N78" s="18">
        <f t="shared" si="17"/>
        <v>10</v>
      </c>
      <c r="O78" s="18">
        <f t="shared" si="17"/>
        <v>17</v>
      </c>
      <c r="P78" s="18">
        <f t="shared" si="17"/>
        <v>46</v>
      </c>
      <c r="Q78" s="18">
        <f t="shared" si="17"/>
        <v>63</v>
      </c>
      <c r="R78" s="18">
        <f>COUNTIF(R74:R77,"E")</f>
        <v>2</v>
      </c>
      <c r="S78" s="18">
        <f>COUNTIF(S74:S77,"C")</f>
        <v>2</v>
      </c>
      <c r="T78" s="18">
        <f>COUNTIF(T74:T77,"VP")</f>
        <v>0</v>
      </c>
      <c r="U78" s="42">
        <f>COUNTA(U74:U77)</f>
        <v>4</v>
      </c>
      <c r="V78" s="210" t="str">
        <f>IF(R78&gt;=SUM(S78:T78),"Corect","E trebuie să fie cel puțin egal cu C+VP")</f>
        <v>Corect</v>
      </c>
      <c r="W78" s="211"/>
      <c r="X78" s="211"/>
    </row>
    <row r="92" spans="1:21" ht="19.5" customHeight="1" x14ac:dyDescent="0.25">
      <c r="A92" s="182" t="s">
        <v>46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</row>
    <row r="93" spans="1:21" ht="27.75" customHeight="1" x14ac:dyDescent="0.25">
      <c r="A93" s="171" t="s">
        <v>27</v>
      </c>
      <c r="B93" s="152" t="s">
        <v>26</v>
      </c>
      <c r="C93" s="153"/>
      <c r="D93" s="153"/>
      <c r="E93" s="153"/>
      <c r="F93" s="153"/>
      <c r="G93" s="153"/>
      <c r="H93" s="153"/>
      <c r="I93" s="154"/>
      <c r="J93" s="168" t="s">
        <v>40</v>
      </c>
      <c r="K93" s="147" t="s">
        <v>24</v>
      </c>
      <c r="L93" s="147"/>
      <c r="M93" s="147"/>
      <c r="N93" s="147"/>
      <c r="O93" s="147" t="s">
        <v>41</v>
      </c>
      <c r="P93" s="170"/>
      <c r="Q93" s="170"/>
      <c r="R93" s="147" t="s">
        <v>23</v>
      </c>
      <c r="S93" s="147"/>
      <c r="T93" s="147"/>
      <c r="U93" s="147" t="s">
        <v>22</v>
      </c>
    </row>
    <row r="94" spans="1:21" ht="12.75" customHeight="1" x14ac:dyDescent="0.25">
      <c r="A94" s="172"/>
      <c r="B94" s="155"/>
      <c r="C94" s="156"/>
      <c r="D94" s="156"/>
      <c r="E94" s="156"/>
      <c r="F94" s="156"/>
      <c r="G94" s="156"/>
      <c r="H94" s="156"/>
      <c r="I94" s="157"/>
      <c r="J94" s="169"/>
      <c r="K94" s="5" t="s">
        <v>28</v>
      </c>
      <c r="L94" s="5" t="s">
        <v>29</v>
      </c>
      <c r="M94" s="5" t="s">
        <v>108</v>
      </c>
      <c r="N94" s="5" t="s">
        <v>109</v>
      </c>
      <c r="O94" s="5" t="s">
        <v>34</v>
      </c>
      <c r="P94" s="5" t="s">
        <v>7</v>
      </c>
      <c r="Q94" s="5" t="s">
        <v>31</v>
      </c>
      <c r="R94" s="5" t="s">
        <v>32</v>
      </c>
      <c r="S94" s="5" t="s">
        <v>28</v>
      </c>
      <c r="T94" s="5" t="s">
        <v>33</v>
      </c>
      <c r="U94" s="147"/>
    </row>
    <row r="95" spans="1:21" x14ac:dyDescent="0.25">
      <c r="A95" s="163" t="s">
        <v>143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5"/>
    </row>
    <row r="96" spans="1:21" ht="27" customHeight="1" x14ac:dyDescent="0.25">
      <c r="A96" s="44" t="s">
        <v>144</v>
      </c>
      <c r="B96" s="158" t="s">
        <v>145</v>
      </c>
      <c r="C96" s="159"/>
      <c r="D96" s="159"/>
      <c r="E96" s="159"/>
      <c r="F96" s="159"/>
      <c r="G96" s="159"/>
      <c r="H96" s="159"/>
      <c r="I96" s="160"/>
      <c r="J96" s="23">
        <v>7</v>
      </c>
      <c r="K96" s="23">
        <v>2</v>
      </c>
      <c r="L96" s="23">
        <v>1</v>
      </c>
      <c r="M96" s="23">
        <v>0</v>
      </c>
      <c r="N96" s="23">
        <v>1</v>
      </c>
      <c r="O96" s="17">
        <f>K96+L96+N96+M96</f>
        <v>4</v>
      </c>
      <c r="P96" s="17">
        <f>Q96-O96</f>
        <v>9</v>
      </c>
      <c r="Q96" s="17">
        <f>ROUND(PRODUCT(J96,25)/14,0)</f>
        <v>13</v>
      </c>
      <c r="R96" s="23" t="s">
        <v>32</v>
      </c>
      <c r="S96" s="23"/>
      <c r="T96" s="24"/>
      <c r="U96" s="11" t="s">
        <v>38</v>
      </c>
    </row>
    <row r="97" spans="1:21" x14ac:dyDescent="0.25">
      <c r="A97" s="44" t="s">
        <v>146</v>
      </c>
      <c r="B97" s="149" t="s">
        <v>147</v>
      </c>
      <c r="C97" s="150"/>
      <c r="D97" s="150"/>
      <c r="E97" s="150"/>
      <c r="F97" s="150"/>
      <c r="G97" s="150"/>
      <c r="H97" s="150"/>
      <c r="I97" s="151"/>
      <c r="J97" s="23">
        <v>7</v>
      </c>
      <c r="K97" s="23">
        <v>2</v>
      </c>
      <c r="L97" s="23">
        <v>1</v>
      </c>
      <c r="M97" s="23">
        <v>0</v>
      </c>
      <c r="N97" s="23">
        <v>1</v>
      </c>
      <c r="O97" s="17">
        <f t="shared" ref="O97" si="18">K97+L97+N97+M97</f>
        <v>4</v>
      </c>
      <c r="P97" s="17">
        <f t="shared" ref="P97:P103" si="19">Q97-O97</f>
        <v>9</v>
      </c>
      <c r="Q97" s="17">
        <f t="shared" ref="Q97:Q99" si="20">ROUND(PRODUCT(J97,25)/14,0)</f>
        <v>13</v>
      </c>
      <c r="R97" s="23" t="s">
        <v>32</v>
      </c>
      <c r="S97" s="23"/>
      <c r="T97" s="24"/>
      <c r="U97" s="11" t="s">
        <v>38</v>
      </c>
    </row>
    <row r="98" spans="1:21" x14ac:dyDescent="0.25">
      <c r="A98" s="62" t="s">
        <v>148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7"/>
    </row>
    <row r="99" spans="1:21" ht="25.5" customHeight="1" x14ac:dyDescent="0.25">
      <c r="A99" s="44" t="s">
        <v>149</v>
      </c>
      <c r="B99" s="158" t="s">
        <v>150</v>
      </c>
      <c r="C99" s="159"/>
      <c r="D99" s="159"/>
      <c r="E99" s="159"/>
      <c r="F99" s="159"/>
      <c r="G99" s="159"/>
      <c r="H99" s="159"/>
      <c r="I99" s="160"/>
      <c r="J99" s="23">
        <v>7</v>
      </c>
      <c r="K99" s="23">
        <v>2</v>
      </c>
      <c r="L99" s="23">
        <v>1</v>
      </c>
      <c r="M99" s="23">
        <v>0</v>
      </c>
      <c r="N99" s="23">
        <v>1</v>
      </c>
      <c r="O99" s="17">
        <f>K99+L99+N99+M99</f>
        <v>4</v>
      </c>
      <c r="P99" s="17">
        <f t="shared" si="19"/>
        <v>9</v>
      </c>
      <c r="Q99" s="17">
        <f t="shared" si="20"/>
        <v>13</v>
      </c>
      <c r="R99" s="23"/>
      <c r="S99" s="23"/>
      <c r="T99" s="24" t="s">
        <v>33</v>
      </c>
      <c r="U99" s="11" t="s">
        <v>38</v>
      </c>
    </row>
    <row r="100" spans="1:21" x14ac:dyDescent="0.25">
      <c r="A100" s="44" t="s">
        <v>151</v>
      </c>
      <c r="B100" s="149" t="s">
        <v>152</v>
      </c>
      <c r="C100" s="150"/>
      <c r="D100" s="150"/>
      <c r="E100" s="150"/>
      <c r="F100" s="150"/>
      <c r="G100" s="150"/>
      <c r="H100" s="150"/>
      <c r="I100" s="151"/>
      <c r="J100" s="23">
        <v>7</v>
      </c>
      <c r="K100" s="23">
        <v>2</v>
      </c>
      <c r="L100" s="23">
        <v>1</v>
      </c>
      <c r="M100" s="23">
        <v>0</v>
      </c>
      <c r="N100" s="23">
        <v>1</v>
      </c>
      <c r="O100" s="17">
        <f t="shared" ref="O100:O101" si="21">K100+L100+N100+M100</f>
        <v>4</v>
      </c>
      <c r="P100" s="17">
        <f t="shared" ref="P100:P101" si="22">Q100-O100</f>
        <v>9</v>
      </c>
      <c r="Q100" s="17">
        <f t="shared" ref="Q100:Q101" si="23">ROUND(PRODUCT(J100,25)/14,0)</f>
        <v>13</v>
      </c>
      <c r="R100" s="23"/>
      <c r="S100" s="23"/>
      <c r="T100" s="24" t="s">
        <v>33</v>
      </c>
      <c r="U100" s="11" t="s">
        <v>38</v>
      </c>
    </row>
    <row r="101" spans="1:21" x14ac:dyDescent="0.25">
      <c r="A101" s="44" t="s">
        <v>153</v>
      </c>
      <c r="B101" s="149" t="s">
        <v>154</v>
      </c>
      <c r="C101" s="150"/>
      <c r="D101" s="150"/>
      <c r="E101" s="150"/>
      <c r="F101" s="150"/>
      <c r="G101" s="150"/>
      <c r="H101" s="150"/>
      <c r="I101" s="151"/>
      <c r="J101" s="23">
        <v>7</v>
      </c>
      <c r="K101" s="23">
        <v>2</v>
      </c>
      <c r="L101" s="23">
        <v>1</v>
      </c>
      <c r="M101" s="23">
        <v>0</v>
      </c>
      <c r="N101" s="23">
        <v>1</v>
      </c>
      <c r="O101" s="17">
        <f t="shared" si="21"/>
        <v>4</v>
      </c>
      <c r="P101" s="17">
        <f t="shared" si="22"/>
        <v>9</v>
      </c>
      <c r="Q101" s="17">
        <f t="shared" si="23"/>
        <v>13</v>
      </c>
      <c r="R101" s="23"/>
      <c r="S101" s="23"/>
      <c r="T101" s="24" t="s">
        <v>33</v>
      </c>
      <c r="U101" s="11" t="s">
        <v>38</v>
      </c>
    </row>
    <row r="102" spans="1:21" x14ac:dyDescent="0.25">
      <c r="A102" s="62" t="s">
        <v>155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7"/>
    </row>
    <row r="103" spans="1:21" ht="33" customHeight="1" x14ac:dyDescent="0.25">
      <c r="A103" s="44" t="s">
        <v>156</v>
      </c>
      <c r="B103" s="158" t="s">
        <v>157</v>
      </c>
      <c r="C103" s="159"/>
      <c r="D103" s="159"/>
      <c r="E103" s="159"/>
      <c r="F103" s="159"/>
      <c r="G103" s="159"/>
      <c r="H103" s="159"/>
      <c r="I103" s="160"/>
      <c r="J103" s="23">
        <v>7</v>
      </c>
      <c r="K103" s="23">
        <v>2</v>
      </c>
      <c r="L103" s="23">
        <v>1</v>
      </c>
      <c r="M103" s="23">
        <v>0</v>
      </c>
      <c r="N103" s="23">
        <v>1</v>
      </c>
      <c r="O103" s="17">
        <f>K103+L103+N103+M103</f>
        <v>4</v>
      </c>
      <c r="P103" s="17">
        <f t="shared" si="19"/>
        <v>11</v>
      </c>
      <c r="Q103" s="17">
        <f t="shared" ref="Q103:Q104" si="24">ROUND(PRODUCT(J103,25)/12,0)</f>
        <v>15</v>
      </c>
      <c r="R103" s="23" t="s">
        <v>32</v>
      </c>
      <c r="S103" s="23"/>
      <c r="T103" s="24"/>
      <c r="U103" s="11" t="s">
        <v>38</v>
      </c>
    </row>
    <row r="104" spans="1:21" ht="29.25" customHeight="1" x14ac:dyDescent="0.25">
      <c r="A104" s="44" t="s">
        <v>158</v>
      </c>
      <c r="B104" s="158" t="s">
        <v>159</v>
      </c>
      <c r="C104" s="159"/>
      <c r="D104" s="159"/>
      <c r="E104" s="159"/>
      <c r="F104" s="159"/>
      <c r="G104" s="159"/>
      <c r="H104" s="159"/>
      <c r="I104" s="160"/>
      <c r="J104" s="23">
        <v>7</v>
      </c>
      <c r="K104" s="23">
        <v>2</v>
      </c>
      <c r="L104" s="23">
        <v>1</v>
      </c>
      <c r="M104" s="23">
        <v>0</v>
      </c>
      <c r="N104" s="23">
        <v>1</v>
      </c>
      <c r="O104" s="17">
        <f t="shared" ref="O104" si="25">K104+L104+N104+M104</f>
        <v>4</v>
      </c>
      <c r="P104" s="17">
        <f t="shared" ref="P104" si="26">Q104-O104</f>
        <v>11</v>
      </c>
      <c r="Q104" s="17">
        <f t="shared" si="24"/>
        <v>15</v>
      </c>
      <c r="R104" s="23" t="s">
        <v>32</v>
      </c>
      <c r="S104" s="23"/>
      <c r="T104" s="24"/>
      <c r="U104" s="11" t="s">
        <v>38</v>
      </c>
    </row>
    <row r="105" spans="1:21" x14ac:dyDescent="0.25">
      <c r="A105" s="62" t="s">
        <v>160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4"/>
    </row>
    <row r="106" spans="1:21" ht="26.25" customHeight="1" x14ac:dyDescent="0.25">
      <c r="A106" s="44" t="s">
        <v>162</v>
      </c>
      <c r="B106" s="158" t="s">
        <v>163</v>
      </c>
      <c r="C106" s="159"/>
      <c r="D106" s="159"/>
      <c r="E106" s="159"/>
      <c r="F106" s="159"/>
      <c r="G106" s="159"/>
      <c r="H106" s="159"/>
      <c r="I106" s="160"/>
      <c r="J106" s="23">
        <v>9</v>
      </c>
      <c r="K106" s="23">
        <v>2</v>
      </c>
      <c r="L106" s="23">
        <v>1</v>
      </c>
      <c r="M106" s="23">
        <v>0</v>
      </c>
      <c r="N106" s="23">
        <v>1</v>
      </c>
      <c r="O106" s="17">
        <f>K106+L106+N106+M106</f>
        <v>4</v>
      </c>
      <c r="P106" s="17">
        <f t="shared" ref="P106:P111" si="27">Q106-O106</f>
        <v>15</v>
      </c>
      <c r="Q106" s="17">
        <f t="shared" ref="Q106:Q111" si="28">ROUND(PRODUCT(J106,25)/12,0)</f>
        <v>19</v>
      </c>
      <c r="R106" s="23" t="s">
        <v>32</v>
      </c>
      <c r="S106" s="23"/>
      <c r="T106" s="24"/>
      <c r="U106" s="11" t="s">
        <v>38</v>
      </c>
    </row>
    <row r="107" spans="1:21" ht="24.75" customHeight="1" x14ac:dyDescent="0.25">
      <c r="A107" s="44" t="s">
        <v>166</v>
      </c>
      <c r="B107" s="149" t="s">
        <v>167</v>
      </c>
      <c r="C107" s="150"/>
      <c r="D107" s="150"/>
      <c r="E107" s="150"/>
      <c r="F107" s="150"/>
      <c r="G107" s="150"/>
      <c r="H107" s="150"/>
      <c r="I107" s="151"/>
      <c r="J107" s="23">
        <v>9</v>
      </c>
      <c r="K107" s="23">
        <v>2</v>
      </c>
      <c r="L107" s="23">
        <v>1</v>
      </c>
      <c r="M107" s="23">
        <v>0</v>
      </c>
      <c r="N107" s="23">
        <v>1</v>
      </c>
      <c r="O107" s="17">
        <f t="shared" ref="O107:O111" si="29">K107+L107+N107+M107</f>
        <v>4</v>
      </c>
      <c r="P107" s="17">
        <f t="shared" si="27"/>
        <v>15</v>
      </c>
      <c r="Q107" s="17">
        <f t="shared" si="28"/>
        <v>19</v>
      </c>
      <c r="R107" s="23" t="s">
        <v>32</v>
      </c>
      <c r="S107" s="23"/>
      <c r="T107" s="24"/>
      <c r="U107" s="11" t="s">
        <v>38</v>
      </c>
    </row>
    <row r="108" spans="1:21" ht="27" customHeight="1" x14ac:dyDescent="0.25">
      <c r="A108" s="44" t="s">
        <v>164</v>
      </c>
      <c r="B108" s="158" t="s">
        <v>165</v>
      </c>
      <c r="C108" s="159"/>
      <c r="D108" s="159"/>
      <c r="E108" s="159"/>
      <c r="F108" s="159"/>
      <c r="G108" s="159"/>
      <c r="H108" s="159"/>
      <c r="I108" s="160"/>
      <c r="J108" s="23">
        <v>9</v>
      </c>
      <c r="K108" s="23">
        <v>2</v>
      </c>
      <c r="L108" s="23">
        <v>1</v>
      </c>
      <c r="M108" s="23">
        <v>0</v>
      </c>
      <c r="N108" s="23">
        <v>1</v>
      </c>
      <c r="O108" s="17">
        <f t="shared" si="29"/>
        <v>4</v>
      </c>
      <c r="P108" s="17">
        <f t="shared" si="27"/>
        <v>15</v>
      </c>
      <c r="Q108" s="17">
        <f t="shared" si="28"/>
        <v>19</v>
      </c>
      <c r="R108" s="23" t="s">
        <v>32</v>
      </c>
      <c r="S108" s="23"/>
      <c r="T108" s="24"/>
      <c r="U108" s="11" t="s">
        <v>38</v>
      </c>
    </row>
    <row r="109" spans="1:21" x14ac:dyDescent="0.25">
      <c r="A109" s="62" t="s">
        <v>161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4"/>
    </row>
    <row r="110" spans="1:21" ht="24.75" customHeight="1" x14ac:dyDescent="0.25">
      <c r="A110" s="44" t="s">
        <v>168</v>
      </c>
      <c r="B110" s="161" t="s">
        <v>169</v>
      </c>
      <c r="C110" s="161"/>
      <c r="D110" s="161"/>
      <c r="E110" s="161"/>
      <c r="F110" s="161"/>
      <c r="G110" s="161"/>
      <c r="H110" s="161"/>
      <c r="I110" s="161"/>
      <c r="J110" s="23">
        <v>9</v>
      </c>
      <c r="K110" s="23">
        <v>2</v>
      </c>
      <c r="L110" s="23">
        <v>1</v>
      </c>
      <c r="M110" s="23">
        <v>0</v>
      </c>
      <c r="N110" s="23">
        <v>1</v>
      </c>
      <c r="O110" s="17">
        <f t="shared" si="29"/>
        <v>4</v>
      </c>
      <c r="P110" s="17">
        <f t="shared" si="27"/>
        <v>15</v>
      </c>
      <c r="Q110" s="17">
        <f t="shared" si="28"/>
        <v>19</v>
      </c>
      <c r="R110" s="23" t="s">
        <v>32</v>
      </c>
      <c r="S110" s="23"/>
      <c r="T110" s="24"/>
      <c r="U110" s="11" t="s">
        <v>38</v>
      </c>
    </row>
    <row r="111" spans="1:21" x14ac:dyDescent="0.25">
      <c r="A111" s="44" t="s">
        <v>170</v>
      </c>
      <c r="B111" s="162" t="s">
        <v>171</v>
      </c>
      <c r="C111" s="162"/>
      <c r="D111" s="162"/>
      <c r="E111" s="162"/>
      <c r="F111" s="162"/>
      <c r="G111" s="162"/>
      <c r="H111" s="162"/>
      <c r="I111" s="162"/>
      <c r="J111" s="23">
        <v>9</v>
      </c>
      <c r="K111" s="23">
        <v>2</v>
      </c>
      <c r="L111" s="23">
        <v>1</v>
      </c>
      <c r="M111" s="23">
        <v>0</v>
      </c>
      <c r="N111" s="23">
        <v>1</v>
      </c>
      <c r="O111" s="17">
        <f t="shared" si="29"/>
        <v>4</v>
      </c>
      <c r="P111" s="17">
        <f t="shared" si="27"/>
        <v>15</v>
      </c>
      <c r="Q111" s="17">
        <f t="shared" si="28"/>
        <v>19</v>
      </c>
      <c r="R111" s="23" t="s">
        <v>32</v>
      </c>
      <c r="S111" s="23"/>
      <c r="T111" s="24"/>
      <c r="U111" s="11" t="s">
        <v>38</v>
      </c>
    </row>
    <row r="112" spans="1:21" ht="24.75" customHeight="1" x14ac:dyDescent="0.25">
      <c r="A112" s="127" t="s">
        <v>73</v>
      </c>
      <c r="B112" s="128"/>
      <c r="C112" s="128"/>
      <c r="D112" s="128"/>
      <c r="E112" s="128"/>
      <c r="F112" s="128"/>
      <c r="G112" s="128"/>
      <c r="H112" s="128"/>
      <c r="I112" s="129"/>
      <c r="J112" s="20">
        <f>SUM(J96,J99,J103,J106,J110)</f>
        <v>39</v>
      </c>
      <c r="K112" s="20">
        <f t="shared" ref="K112:Q112" si="30">SUM(K96,K99,K103,K106,K110)</f>
        <v>10</v>
      </c>
      <c r="L112" s="20">
        <f t="shared" si="30"/>
        <v>5</v>
      </c>
      <c r="M112" s="20">
        <f t="shared" si="30"/>
        <v>0</v>
      </c>
      <c r="N112" s="20">
        <f t="shared" si="30"/>
        <v>5</v>
      </c>
      <c r="O112" s="20">
        <f t="shared" si="30"/>
        <v>20</v>
      </c>
      <c r="P112" s="20">
        <f t="shared" si="30"/>
        <v>59</v>
      </c>
      <c r="Q112" s="20">
        <f t="shared" si="30"/>
        <v>79</v>
      </c>
      <c r="R112" s="20">
        <f>COUNTIF(R96,"E")+COUNTIF(R99,"E")+COUNTIF(R103,"E")+COUNTIF(R106,"E")+COUNTIF(R110,"E")</f>
        <v>4</v>
      </c>
      <c r="S112" s="20">
        <f>COUNTIF(S96,"C")+COUNTIF(S99,"C")+COUNTIF(S103,"C")+COUNTIF(S106,"C")+COUNTIF(S110,"C")</f>
        <v>0</v>
      </c>
      <c r="T112" s="20">
        <f>COUNTIF(T96,"VP")+COUNTIF(T99,"VP")+COUNTIF(T103,"VP")+COUNTIF(T106,"VP")+COUNTIF(T110,"VP")</f>
        <v>1</v>
      </c>
      <c r="U112" s="46">
        <f>5/(U41+U53+U68+U78)</f>
        <v>0.3125</v>
      </c>
    </row>
    <row r="113" spans="1:21" ht="13.5" customHeight="1" x14ac:dyDescent="0.25">
      <c r="A113" s="136" t="s">
        <v>48</v>
      </c>
      <c r="B113" s="137"/>
      <c r="C113" s="137"/>
      <c r="D113" s="137"/>
      <c r="E113" s="137"/>
      <c r="F113" s="137"/>
      <c r="G113" s="137"/>
      <c r="H113" s="137"/>
      <c r="I113" s="137"/>
      <c r="J113" s="138"/>
      <c r="K113" s="20">
        <f>SUM(K96,K99,K103)*14+(K106+K110)*12</f>
        <v>132</v>
      </c>
      <c r="L113" s="20">
        <f t="shared" ref="L113:Q113" si="31">SUM(L96,L99,L103)*14+(L106+L110)*12</f>
        <v>66</v>
      </c>
      <c r="M113" s="20">
        <f t="shared" si="31"/>
        <v>0</v>
      </c>
      <c r="N113" s="20">
        <f t="shared" si="31"/>
        <v>66</v>
      </c>
      <c r="O113" s="20">
        <f t="shared" si="31"/>
        <v>264</v>
      </c>
      <c r="P113" s="20">
        <f t="shared" si="31"/>
        <v>766</v>
      </c>
      <c r="Q113" s="20">
        <f t="shared" si="31"/>
        <v>1030</v>
      </c>
      <c r="R113" s="118"/>
      <c r="S113" s="119"/>
      <c r="T113" s="119"/>
      <c r="U113" s="120"/>
    </row>
    <row r="114" spans="1:21" x14ac:dyDescent="0.25">
      <c r="A114" s="139"/>
      <c r="B114" s="140"/>
      <c r="C114" s="140"/>
      <c r="D114" s="140"/>
      <c r="E114" s="140"/>
      <c r="F114" s="140"/>
      <c r="G114" s="140"/>
      <c r="H114" s="140"/>
      <c r="I114" s="140"/>
      <c r="J114" s="141"/>
      <c r="K114" s="130">
        <f>SUM(K113:N113)</f>
        <v>264</v>
      </c>
      <c r="L114" s="131"/>
      <c r="M114" s="131"/>
      <c r="N114" s="132"/>
      <c r="O114" s="133">
        <f>SUM(O113:P113)</f>
        <v>1030</v>
      </c>
      <c r="P114" s="134"/>
      <c r="Q114" s="135"/>
      <c r="R114" s="121"/>
      <c r="S114" s="122"/>
      <c r="T114" s="122"/>
      <c r="U114" s="123"/>
    </row>
    <row r="115" spans="1:2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3"/>
      <c r="L115" s="13"/>
      <c r="M115" s="13"/>
      <c r="N115" s="13"/>
      <c r="O115" s="14"/>
      <c r="P115" s="14"/>
      <c r="Q115" s="14"/>
      <c r="R115" s="15"/>
      <c r="S115" s="15"/>
      <c r="T115" s="15"/>
      <c r="U115" s="15"/>
    </row>
    <row r="116" spans="1:21" ht="24" customHeight="1" x14ac:dyDescent="0.25">
      <c r="A116" s="156" t="s">
        <v>49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</row>
    <row r="117" spans="1:21" ht="16.5" customHeight="1" x14ac:dyDescent="0.25">
      <c r="A117" s="88" t="s">
        <v>50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90"/>
    </row>
    <row r="118" spans="1:21" ht="34.5" customHeight="1" x14ac:dyDescent="0.25">
      <c r="A118" s="125" t="s">
        <v>27</v>
      </c>
      <c r="B118" s="125" t="s">
        <v>26</v>
      </c>
      <c r="C118" s="125"/>
      <c r="D118" s="125"/>
      <c r="E118" s="125"/>
      <c r="F118" s="125"/>
      <c r="G118" s="125"/>
      <c r="H118" s="125"/>
      <c r="I118" s="125"/>
      <c r="J118" s="87" t="s">
        <v>40</v>
      </c>
      <c r="K118" s="87" t="s">
        <v>24</v>
      </c>
      <c r="L118" s="87"/>
      <c r="M118" s="87"/>
      <c r="N118" s="87"/>
      <c r="O118" s="87" t="s">
        <v>41</v>
      </c>
      <c r="P118" s="87"/>
      <c r="Q118" s="87"/>
      <c r="R118" s="87" t="s">
        <v>23</v>
      </c>
      <c r="S118" s="87"/>
      <c r="T118" s="87"/>
      <c r="U118" s="87" t="s">
        <v>22</v>
      </c>
    </row>
    <row r="119" spans="1:21" x14ac:dyDescent="0.25">
      <c r="A119" s="125"/>
      <c r="B119" s="125"/>
      <c r="C119" s="125"/>
      <c r="D119" s="125"/>
      <c r="E119" s="125"/>
      <c r="F119" s="125"/>
      <c r="G119" s="125"/>
      <c r="H119" s="125"/>
      <c r="I119" s="125"/>
      <c r="J119" s="87"/>
      <c r="K119" s="26" t="s">
        <v>28</v>
      </c>
      <c r="L119" s="26" t="s">
        <v>29</v>
      </c>
      <c r="M119" s="26" t="s">
        <v>108</v>
      </c>
      <c r="N119" s="26" t="s">
        <v>109</v>
      </c>
      <c r="O119" s="26" t="s">
        <v>34</v>
      </c>
      <c r="P119" s="26" t="s">
        <v>7</v>
      </c>
      <c r="Q119" s="26" t="s">
        <v>31</v>
      </c>
      <c r="R119" s="26" t="s">
        <v>32</v>
      </c>
      <c r="S119" s="26" t="s">
        <v>28</v>
      </c>
      <c r="T119" s="26" t="s">
        <v>33</v>
      </c>
      <c r="U119" s="87"/>
    </row>
    <row r="120" spans="1:21" ht="17.25" customHeight="1" x14ac:dyDescent="0.25">
      <c r="A120" s="88" t="s">
        <v>62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90"/>
    </row>
    <row r="121" spans="1:21" x14ac:dyDescent="0.25">
      <c r="A121" s="27" t="str">
        <f t="shared" ref="A121:A128" si="32">IF(ISNA(INDEX($A$34:$U$115,MATCH($B121,$B$34:$B$115,0),1)),"",INDEX($A$34:$U$115,MATCH($B121,$B$34:$B$115,0),1))</f>
        <v>MME3111</v>
      </c>
      <c r="B121" s="126" t="s">
        <v>114</v>
      </c>
      <c r="C121" s="126"/>
      <c r="D121" s="126"/>
      <c r="E121" s="126"/>
      <c r="F121" s="126"/>
      <c r="G121" s="126"/>
      <c r="H121" s="126"/>
      <c r="I121" s="126"/>
      <c r="J121" s="17">
        <f t="shared" ref="J121:J128" si="33">IF(ISNA(INDEX($A$34:$U$115,MATCH($B121,$B$34:$B$115,0),10)),"",INDEX($A$34:$U$115,MATCH($B121,$B$34:$B$115,0),10))</f>
        <v>8</v>
      </c>
      <c r="K121" s="17">
        <f t="shared" ref="K121:K128" si="34">IF(ISNA(INDEX($A$34:$U$115,MATCH($B121,$B$34:$B$115,0),11)),"",INDEX($A$34:$U$115,MATCH($B121,$B$34:$B$115,0),11))</f>
        <v>2</v>
      </c>
      <c r="L121" s="17">
        <f t="shared" ref="L121:L128" si="35">IF(ISNA(INDEX($A$34:$U$115,MATCH($B121,$B$34:$B$115,0),12)),"",INDEX($A$34:$U$115,MATCH($B121,$B$34:$B$115,0),12))</f>
        <v>1</v>
      </c>
      <c r="M121" s="17">
        <f t="shared" ref="M121:M128" si="36">IF(ISNA(INDEX($A$34:$U$115,MATCH($B121,$B$34:$B$115,0),13)),"",INDEX($A$34:$U$115,MATCH($B121,$B$34:$B$115,0),13))</f>
        <v>0</v>
      </c>
      <c r="N121" s="17">
        <f t="shared" ref="N121:N128" si="37">IF(ISNA(INDEX($A$34:$U$115,MATCH($B121,$B$34:$B$115,0),14)),"",INDEX($A$34:$U$115,MATCH($B121,$B$34:$B$115,0),14))</f>
        <v>1</v>
      </c>
      <c r="O121" s="17">
        <f t="shared" ref="O121:O128" si="38">IF(ISNA(INDEX($A$34:$U$115,MATCH($B121,$B$34:$B$115,0),15)),"",INDEX($A$34:$U$115,MATCH($B121,$B$34:$B$115,0),15))</f>
        <v>4</v>
      </c>
      <c r="P121" s="17">
        <f t="shared" ref="P121:P128" si="39">IF(ISNA(INDEX($A$34:$U$115,MATCH($B121,$B$34:$B$115,0),16)),"",INDEX($A$34:$U$115,MATCH($B121,$B$34:$B$115,0),16))</f>
        <v>10</v>
      </c>
      <c r="Q121" s="17">
        <f t="shared" ref="Q121:Q128" si="40">IF(ISNA(INDEX($A$34:$U$115,MATCH($B121,$B$34:$B$115,0),17)),"",INDEX($A$34:$U$115,MATCH($B121,$B$34:$B$115,0),17))</f>
        <v>14</v>
      </c>
      <c r="R121" s="25" t="str">
        <f t="shared" ref="R121:R128" si="41">IF(ISNA(INDEX($A$34:$U$115,MATCH($B121,$B$34:$B$115,0),18)),"",INDEX($A$34:$U$115,MATCH($B121,$B$34:$B$115,0),18))</f>
        <v>E</v>
      </c>
      <c r="S121" s="25">
        <f t="shared" ref="S121:S128" si="42">IF(ISNA(INDEX($A$34:$U$115,MATCH($B121,$B$34:$B$115,0),19)),"",INDEX($A$34:$U$115,MATCH($B121,$B$34:$B$115,0),19))</f>
        <v>0</v>
      </c>
      <c r="T121" s="25">
        <f t="shared" ref="T121:T128" si="43">IF(ISNA(INDEX($A$34:$U$115,MATCH($B121,$B$34:$B$115,0),20)),"",INDEX($A$34:$U$115,MATCH($B121,$B$34:$B$115,0),20))</f>
        <v>0</v>
      </c>
      <c r="U121" s="16" t="s">
        <v>37</v>
      </c>
    </row>
    <row r="122" spans="1:21" x14ac:dyDescent="0.25">
      <c r="A122" s="27" t="str">
        <f t="shared" si="32"/>
        <v>MME3103</v>
      </c>
      <c r="B122" s="126" t="s">
        <v>116</v>
      </c>
      <c r="C122" s="126"/>
      <c r="D122" s="126"/>
      <c r="E122" s="126"/>
      <c r="F122" s="126"/>
      <c r="G122" s="126"/>
      <c r="H122" s="126"/>
      <c r="I122" s="126"/>
      <c r="J122" s="17">
        <f t="shared" si="33"/>
        <v>7</v>
      </c>
      <c r="K122" s="17">
        <f t="shared" si="34"/>
        <v>2</v>
      </c>
      <c r="L122" s="17">
        <f t="shared" si="35"/>
        <v>1</v>
      </c>
      <c r="M122" s="17">
        <f t="shared" si="36"/>
        <v>0</v>
      </c>
      <c r="N122" s="17">
        <f t="shared" si="37"/>
        <v>1</v>
      </c>
      <c r="O122" s="17">
        <f t="shared" si="38"/>
        <v>4</v>
      </c>
      <c r="P122" s="17">
        <f t="shared" si="39"/>
        <v>9</v>
      </c>
      <c r="Q122" s="17">
        <f t="shared" si="40"/>
        <v>13</v>
      </c>
      <c r="R122" s="25" t="str">
        <f t="shared" si="41"/>
        <v>E</v>
      </c>
      <c r="S122" s="25">
        <f t="shared" si="42"/>
        <v>0</v>
      </c>
      <c r="T122" s="25">
        <f t="shared" si="43"/>
        <v>0</v>
      </c>
      <c r="U122" s="16" t="s">
        <v>37</v>
      </c>
    </row>
    <row r="123" spans="1:21" ht="27.75" customHeight="1" x14ac:dyDescent="0.25">
      <c r="A123" s="27" t="str">
        <f t="shared" si="32"/>
        <v>MME3104</v>
      </c>
      <c r="B123" s="142" t="s">
        <v>118</v>
      </c>
      <c r="C123" s="142"/>
      <c r="D123" s="142"/>
      <c r="E123" s="142"/>
      <c r="F123" s="142"/>
      <c r="G123" s="142"/>
      <c r="H123" s="142"/>
      <c r="I123" s="142"/>
      <c r="J123" s="17">
        <f t="shared" si="33"/>
        <v>7</v>
      </c>
      <c r="K123" s="17">
        <f t="shared" si="34"/>
        <v>2</v>
      </c>
      <c r="L123" s="17">
        <f t="shared" si="35"/>
        <v>1</v>
      </c>
      <c r="M123" s="17">
        <f t="shared" si="36"/>
        <v>0</v>
      </c>
      <c r="N123" s="17">
        <f t="shared" si="37"/>
        <v>1</v>
      </c>
      <c r="O123" s="17">
        <f t="shared" si="38"/>
        <v>4</v>
      </c>
      <c r="P123" s="17">
        <f t="shared" si="39"/>
        <v>9</v>
      </c>
      <c r="Q123" s="17">
        <f t="shared" si="40"/>
        <v>13</v>
      </c>
      <c r="R123" s="25">
        <f t="shared" si="41"/>
        <v>0</v>
      </c>
      <c r="S123" s="25" t="str">
        <f t="shared" si="42"/>
        <v>C</v>
      </c>
      <c r="T123" s="25">
        <f t="shared" si="43"/>
        <v>0</v>
      </c>
      <c r="U123" s="16" t="s">
        <v>37</v>
      </c>
    </row>
    <row r="124" spans="1:21" ht="27.75" customHeight="1" x14ac:dyDescent="0.25">
      <c r="A124" s="27" t="str">
        <f t="shared" si="32"/>
        <v>MME3110</v>
      </c>
      <c r="B124" s="142" t="s">
        <v>120</v>
      </c>
      <c r="C124" s="142"/>
      <c r="D124" s="142"/>
      <c r="E124" s="142"/>
      <c r="F124" s="142"/>
      <c r="G124" s="142"/>
      <c r="H124" s="142"/>
      <c r="I124" s="142"/>
      <c r="J124" s="17">
        <f t="shared" si="33"/>
        <v>8</v>
      </c>
      <c r="K124" s="17">
        <f t="shared" si="34"/>
        <v>2</v>
      </c>
      <c r="L124" s="17">
        <f t="shared" si="35"/>
        <v>1</v>
      </c>
      <c r="M124" s="17">
        <f t="shared" si="36"/>
        <v>0</v>
      </c>
      <c r="N124" s="17">
        <f t="shared" si="37"/>
        <v>1</v>
      </c>
      <c r="O124" s="17">
        <f t="shared" si="38"/>
        <v>4</v>
      </c>
      <c r="P124" s="17">
        <f t="shared" si="39"/>
        <v>10</v>
      </c>
      <c r="Q124" s="17">
        <f t="shared" si="40"/>
        <v>14</v>
      </c>
      <c r="R124" s="25" t="str">
        <f t="shared" si="41"/>
        <v>E</v>
      </c>
      <c r="S124" s="25">
        <f t="shared" si="42"/>
        <v>0</v>
      </c>
      <c r="T124" s="25">
        <f t="shared" si="43"/>
        <v>0</v>
      </c>
      <c r="U124" s="16" t="s">
        <v>37</v>
      </c>
    </row>
    <row r="125" spans="1:21" ht="27.75" customHeight="1" x14ac:dyDescent="0.25">
      <c r="A125" s="27" t="str">
        <f t="shared" si="32"/>
        <v>MME3106</v>
      </c>
      <c r="B125" s="142" t="s">
        <v>122</v>
      </c>
      <c r="C125" s="142"/>
      <c r="D125" s="142"/>
      <c r="E125" s="142"/>
      <c r="F125" s="142"/>
      <c r="G125" s="142"/>
      <c r="H125" s="142"/>
      <c r="I125" s="142"/>
      <c r="J125" s="17">
        <f t="shared" si="33"/>
        <v>8</v>
      </c>
      <c r="K125" s="17">
        <f t="shared" si="34"/>
        <v>2</v>
      </c>
      <c r="L125" s="17">
        <f t="shared" si="35"/>
        <v>1</v>
      </c>
      <c r="M125" s="17">
        <f t="shared" si="36"/>
        <v>0</v>
      </c>
      <c r="N125" s="17">
        <f t="shared" si="37"/>
        <v>1</v>
      </c>
      <c r="O125" s="17">
        <f t="shared" si="38"/>
        <v>4</v>
      </c>
      <c r="P125" s="17">
        <f t="shared" si="39"/>
        <v>10</v>
      </c>
      <c r="Q125" s="17">
        <f t="shared" si="40"/>
        <v>14</v>
      </c>
      <c r="R125" s="25" t="str">
        <f t="shared" si="41"/>
        <v>E</v>
      </c>
      <c r="S125" s="25">
        <f t="shared" si="42"/>
        <v>0</v>
      </c>
      <c r="T125" s="25">
        <f t="shared" si="43"/>
        <v>0</v>
      </c>
      <c r="U125" s="16" t="s">
        <v>37</v>
      </c>
    </row>
    <row r="126" spans="1:21" ht="29.25" customHeight="1" x14ac:dyDescent="0.25">
      <c r="A126" s="27" t="str">
        <f t="shared" si="32"/>
        <v>MME3107</v>
      </c>
      <c r="B126" s="142" t="s">
        <v>124</v>
      </c>
      <c r="C126" s="142"/>
      <c r="D126" s="142"/>
      <c r="E126" s="142"/>
      <c r="F126" s="142"/>
      <c r="G126" s="142"/>
      <c r="H126" s="142"/>
      <c r="I126" s="142"/>
      <c r="J126" s="17">
        <f t="shared" si="33"/>
        <v>8</v>
      </c>
      <c r="K126" s="17">
        <f t="shared" si="34"/>
        <v>2</v>
      </c>
      <c r="L126" s="17">
        <f t="shared" si="35"/>
        <v>1</v>
      </c>
      <c r="M126" s="17">
        <f t="shared" si="36"/>
        <v>0</v>
      </c>
      <c r="N126" s="17">
        <f t="shared" si="37"/>
        <v>1</v>
      </c>
      <c r="O126" s="17">
        <f t="shared" si="38"/>
        <v>4</v>
      </c>
      <c r="P126" s="17">
        <f t="shared" si="39"/>
        <v>10</v>
      </c>
      <c r="Q126" s="17">
        <f t="shared" si="40"/>
        <v>14</v>
      </c>
      <c r="R126" s="25">
        <f t="shared" si="41"/>
        <v>0</v>
      </c>
      <c r="S126" s="25" t="str">
        <f t="shared" si="42"/>
        <v>C</v>
      </c>
      <c r="T126" s="25">
        <f t="shared" si="43"/>
        <v>0</v>
      </c>
      <c r="U126" s="16" t="s">
        <v>37</v>
      </c>
    </row>
    <row r="127" spans="1:21" x14ac:dyDescent="0.25">
      <c r="A127" s="27" t="str">
        <f t="shared" si="32"/>
        <v>MME3024</v>
      </c>
      <c r="B127" s="126" t="s">
        <v>126</v>
      </c>
      <c r="C127" s="126"/>
      <c r="D127" s="126"/>
      <c r="E127" s="126"/>
      <c r="F127" s="126"/>
      <c r="G127" s="126"/>
      <c r="H127" s="126"/>
      <c r="I127" s="126"/>
      <c r="J127" s="17">
        <f t="shared" si="33"/>
        <v>7</v>
      </c>
      <c r="K127" s="17">
        <f t="shared" si="34"/>
        <v>2</v>
      </c>
      <c r="L127" s="17">
        <f t="shared" si="35"/>
        <v>1</v>
      </c>
      <c r="M127" s="17">
        <f t="shared" si="36"/>
        <v>0</v>
      </c>
      <c r="N127" s="17">
        <f t="shared" si="37"/>
        <v>1</v>
      </c>
      <c r="O127" s="17">
        <f t="shared" si="38"/>
        <v>4</v>
      </c>
      <c r="P127" s="17">
        <f t="shared" si="39"/>
        <v>9</v>
      </c>
      <c r="Q127" s="17">
        <f t="shared" si="40"/>
        <v>13</v>
      </c>
      <c r="R127" s="25">
        <f t="shared" si="41"/>
        <v>0</v>
      </c>
      <c r="S127" s="25">
        <f t="shared" si="42"/>
        <v>0</v>
      </c>
      <c r="T127" s="25" t="str">
        <f t="shared" si="43"/>
        <v>VP</v>
      </c>
      <c r="U127" s="16" t="s">
        <v>37</v>
      </c>
    </row>
    <row r="128" spans="1:21" x14ac:dyDescent="0.25">
      <c r="A128" s="27" t="str">
        <f t="shared" si="32"/>
        <v>MME3112</v>
      </c>
      <c r="B128" s="126" t="s">
        <v>130</v>
      </c>
      <c r="C128" s="126"/>
      <c r="D128" s="126"/>
      <c r="E128" s="126"/>
      <c r="F128" s="126"/>
      <c r="G128" s="126"/>
      <c r="H128" s="126"/>
      <c r="I128" s="126"/>
      <c r="J128" s="17">
        <f t="shared" si="33"/>
        <v>8</v>
      </c>
      <c r="K128" s="17">
        <f t="shared" si="34"/>
        <v>2</v>
      </c>
      <c r="L128" s="17">
        <f t="shared" si="35"/>
        <v>1</v>
      </c>
      <c r="M128" s="17">
        <f t="shared" si="36"/>
        <v>0</v>
      </c>
      <c r="N128" s="17">
        <f t="shared" si="37"/>
        <v>1</v>
      </c>
      <c r="O128" s="17">
        <f t="shared" si="38"/>
        <v>4</v>
      </c>
      <c r="P128" s="17">
        <f t="shared" si="39"/>
        <v>10</v>
      </c>
      <c r="Q128" s="17">
        <f t="shared" si="40"/>
        <v>14</v>
      </c>
      <c r="R128" s="25" t="str">
        <f t="shared" si="41"/>
        <v>E</v>
      </c>
      <c r="S128" s="25">
        <f t="shared" si="42"/>
        <v>0</v>
      </c>
      <c r="T128" s="25">
        <f t="shared" si="43"/>
        <v>0</v>
      </c>
      <c r="U128" s="16" t="s">
        <v>37</v>
      </c>
    </row>
    <row r="129" spans="1:21" x14ac:dyDescent="0.25">
      <c r="A129" s="18" t="s">
        <v>25</v>
      </c>
      <c r="B129" s="143"/>
      <c r="C129" s="144"/>
      <c r="D129" s="144"/>
      <c r="E129" s="144"/>
      <c r="F129" s="144"/>
      <c r="G129" s="144"/>
      <c r="H129" s="144"/>
      <c r="I129" s="145"/>
      <c r="J129" s="20">
        <f>IF(ISNA(SUM(J121:J128)),"",SUM(J121:J128))</f>
        <v>61</v>
      </c>
      <c r="K129" s="20">
        <f t="shared" ref="K129:Q129" si="44">SUM(K121:K128)</f>
        <v>16</v>
      </c>
      <c r="L129" s="20">
        <f t="shared" si="44"/>
        <v>8</v>
      </c>
      <c r="M129" s="20">
        <f t="shared" si="44"/>
        <v>0</v>
      </c>
      <c r="N129" s="20">
        <f t="shared" si="44"/>
        <v>8</v>
      </c>
      <c r="O129" s="20">
        <f t="shared" si="44"/>
        <v>32</v>
      </c>
      <c r="P129" s="20">
        <f t="shared" si="44"/>
        <v>77</v>
      </c>
      <c r="Q129" s="20">
        <f t="shared" si="44"/>
        <v>109</v>
      </c>
      <c r="R129" s="18">
        <f>COUNTIF(R121:R128,"E")</f>
        <v>5</v>
      </c>
      <c r="S129" s="18">
        <f>COUNTIF(S121:S128,"C")</f>
        <v>2</v>
      </c>
      <c r="T129" s="18">
        <f>COUNTIF(T121:T128,"VP")</f>
        <v>1</v>
      </c>
      <c r="U129" s="16"/>
    </row>
    <row r="130" spans="1:21" ht="17.25" customHeight="1" x14ac:dyDescent="0.25">
      <c r="A130" s="88" t="s">
        <v>63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90"/>
    </row>
    <row r="131" spans="1:21" hidden="1" x14ac:dyDescent="0.25">
      <c r="A131" s="27" t="str">
        <f>IF(ISNA(INDEX($A$34:$U$115,MATCH($B131,$B$34:$B$115,0),1)),"",INDEX($A$34:$U$115,MATCH($B131,$B$34:$B$115,0),1))</f>
        <v/>
      </c>
      <c r="B131" s="126"/>
      <c r="C131" s="126"/>
      <c r="D131" s="126"/>
      <c r="E131" s="126"/>
      <c r="F131" s="126"/>
      <c r="G131" s="126"/>
      <c r="H131" s="126"/>
      <c r="I131" s="126"/>
      <c r="J131" s="17" t="str">
        <f>IF(ISNA(INDEX($A$34:$U$115,MATCH($B131,$B$34:$B$115,0),10)),"",INDEX($A$34:$U$115,MATCH($B131,$B$34:$B$115,0),10))</f>
        <v/>
      </c>
      <c r="K131" s="17" t="str">
        <f>IF(ISNA(INDEX($A$34:$U$115,MATCH($B131,$B$34:$B$115,0),11)),"",INDEX($A$34:$U$115,MATCH($B131,$B$34:$B$115,0),11))</f>
        <v/>
      </c>
      <c r="L131" s="17" t="str">
        <f>IF(ISNA(INDEX($A$34:$U$115,MATCH($B131,$B$34:$B$115,0),12)),"",INDEX($A$34:$U$115,MATCH($B131,$B$34:$B$115,0),12))</f>
        <v/>
      </c>
      <c r="M131" s="17" t="str">
        <f>IF(ISNA(INDEX($A$34:$U$115,MATCH($B131,$B$34:$B$115,0),13)),"",INDEX($A$34:$U$115,MATCH($B131,$B$34:$B$115,0),13))</f>
        <v/>
      </c>
      <c r="N131" s="17" t="str">
        <f>IF(ISNA(INDEX($A$34:$U$115,MATCH($B131,$B$34:$B$115,0),14)),"",INDEX($A$34:$U$115,MATCH($B131,$B$34:$B$115,0),14))</f>
        <v/>
      </c>
      <c r="O131" s="17" t="str">
        <f>IF(ISNA(INDEX($A$34:$U$115,MATCH($B131,$B$34:$B$115,0),15)),"",INDEX($A$34:$U$115,MATCH($B131,$B$34:$B$115,0),15))</f>
        <v/>
      </c>
      <c r="P131" s="17" t="str">
        <f>IF(ISNA(INDEX($A$34:$U$115,MATCH($B131,$B$34:$B$115,0),16)),"",INDEX($A$34:$U$115,MATCH($B131,$B$34:$B$115,0),16))</f>
        <v/>
      </c>
      <c r="Q131" s="17" t="str">
        <f>IF(ISNA(INDEX($A$34:$U$115,MATCH($B131,$B$34:$B$115,0),17)),"",INDEX($A$34:$U$115,MATCH($B131,$B$34:$B$115,0),17))</f>
        <v/>
      </c>
      <c r="R131" s="25" t="str">
        <f>IF(ISNA(INDEX($A$34:$U$115,MATCH($B131,$B$34:$B$115,0),18)),"",INDEX($A$34:$U$115,MATCH($B131,$B$34:$B$115,0),18))</f>
        <v/>
      </c>
      <c r="S131" s="25" t="str">
        <f>IF(ISNA(INDEX($A$34:$U$115,MATCH($B131,$B$34:$B$115,0),19)),"",INDEX($A$34:$U$115,MATCH($B131,$B$34:$B$115,0),19))</f>
        <v/>
      </c>
      <c r="T131" s="25" t="str">
        <f>IF(ISNA(INDEX($A$34:$U$115,MATCH($B131,$B$34:$B$115,0),20)),"",INDEX($A$34:$U$115,MATCH($B131,$B$34:$B$115,0),20))</f>
        <v/>
      </c>
      <c r="U131" s="16"/>
    </row>
    <row r="132" spans="1:21" x14ac:dyDescent="0.25">
      <c r="A132" s="18" t="s">
        <v>25</v>
      </c>
      <c r="B132" s="125"/>
      <c r="C132" s="125"/>
      <c r="D132" s="125"/>
      <c r="E132" s="125"/>
      <c r="F132" s="125"/>
      <c r="G132" s="125"/>
      <c r="H132" s="125"/>
      <c r="I132" s="125"/>
      <c r="J132" s="20">
        <f t="shared" ref="J132:Q132" si="45">SUM(J131:J131)</f>
        <v>0</v>
      </c>
      <c r="K132" s="20">
        <f t="shared" si="45"/>
        <v>0</v>
      </c>
      <c r="L132" s="20">
        <f t="shared" si="45"/>
        <v>0</v>
      </c>
      <c r="M132" s="20">
        <f t="shared" si="45"/>
        <v>0</v>
      </c>
      <c r="N132" s="20">
        <f t="shared" si="45"/>
        <v>0</v>
      </c>
      <c r="O132" s="20">
        <f t="shared" si="45"/>
        <v>0</v>
      </c>
      <c r="P132" s="20">
        <f t="shared" si="45"/>
        <v>0</v>
      </c>
      <c r="Q132" s="20">
        <f t="shared" si="45"/>
        <v>0</v>
      </c>
      <c r="R132" s="18">
        <f>COUNTIF(R131:R131,"E")</f>
        <v>0</v>
      </c>
      <c r="S132" s="18">
        <f>COUNTIF(S131:S131,"C")</f>
        <v>0</v>
      </c>
      <c r="T132" s="18">
        <f>COUNTIF(T131:T131,"VP")</f>
        <v>0</v>
      </c>
      <c r="U132" s="19"/>
    </row>
    <row r="133" spans="1:21" ht="27" customHeight="1" x14ac:dyDescent="0.25">
      <c r="A133" s="127" t="s">
        <v>73</v>
      </c>
      <c r="B133" s="128"/>
      <c r="C133" s="128"/>
      <c r="D133" s="128"/>
      <c r="E133" s="128"/>
      <c r="F133" s="128"/>
      <c r="G133" s="128"/>
      <c r="H133" s="128"/>
      <c r="I133" s="129"/>
      <c r="J133" s="20">
        <f t="shared" ref="J133:T133" si="46">SUM(J129,J132)</f>
        <v>61</v>
      </c>
      <c r="K133" s="20">
        <f t="shared" si="46"/>
        <v>16</v>
      </c>
      <c r="L133" s="20">
        <f t="shared" si="46"/>
        <v>8</v>
      </c>
      <c r="M133" s="20">
        <f t="shared" si="46"/>
        <v>0</v>
      </c>
      <c r="N133" s="20">
        <f t="shared" si="46"/>
        <v>8</v>
      </c>
      <c r="O133" s="20">
        <f t="shared" si="46"/>
        <v>32</v>
      </c>
      <c r="P133" s="20">
        <f t="shared" si="46"/>
        <v>77</v>
      </c>
      <c r="Q133" s="20">
        <f t="shared" si="46"/>
        <v>109</v>
      </c>
      <c r="R133" s="20">
        <f t="shared" si="46"/>
        <v>5</v>
      </c>
      <c r="S133" s="20">
        <f t="shared" si="46"/>
        <v>2</v>
      </c>
      <c r="T133" s="20">
        <f t="shared" si="46"/>
        <v>1</v>
      </c>
      <c r="U133" s="46">
        <f>COUNTA(U121:U128)/(U41+U53+U68+U78)</f>
        <v>0.5</v>
      </c>
    </row>
    <row r="134" spans="1:21" x14ac:dyDescent="0.25">
      <c r="A134" s="136" t="s">
        <v>48</v>
      </c>
      <c r="B134" s="137"/>
      <c r="C134" s="137"/>
      <c r="D134" s="137"/>
      <c r="E134" s="137"/>
      <c r="F134" s="137"/>
      <c r="G134" s="137"/>
      <c r="H134" s="137"/>
      <c r="I134" s="137"/>
      <c r="J134" s="138"/>
      <c r="K134" s="20">
        <f t="shared" ref="K134:Q134" si="47">K129*14+K132*12</f>
        <v>224</v>
      </c>
      <c r="L134" s="20">
        <f t="shared" si="47"/>
        <v>112</v>
      </c>
      <c r="M134" s="20">
        <f t="shared" si="47"/>
        <v>0</v>
      </c>
      <c r="N134" s="20">
        <f t="shared" si="47"/>
        <v>112</v>
      </c>
      <c r="O134" s="20">
        <f t="shared" si="47"/>
        <v>448</v>
      </c>
      <c r="P134" s="20">
        <f t="shared" si="47"/>
        <v>1078</v>
      </c>
      <c r="Q134" s="20">
        <f t="shared" si="47"/>
        <v>1526</v>
      </c>
      <c r="R134" s="118"/>
      <c r="S134" s="119"/>
      <c r="T134" s="119"/>
      <c r="U134" s="120"/>
    </row>
    <row r="135" spans="1:21" x14ac:dyDescent="0.25">
      <c r="A135" s="139"/>
      <c r="B135" s="140"/>
      <c r="C135" s="140"/>
      <c r="D135" s="140"/>
      <c r="E135" s="140"/>
      <c r="F135" s="140"/>
      <c r="G135" s="140"/>
      <c r="H135" s="140"/>
      <c r="I135" s="140"/>
      <c r="J135" s="141"/>
      <c r="K135" s="130">
        <f>SUM(K134:N134)</f>
        <v>448</v>
      </c>
      <c r="L135" s="131"/>
      <c r="M135" s="131"/>
      <c r="N135" s="132"/>
      <c r="O135" s="133">
        <f>SUM(O134:P134)</f>
        <v>1526</v>
      </c>
      <c r="P135" s="134"/>
      <c r="Q135" s="135"/>
      <c r="R135" s="121"/>
      <c r="S135" s="122"/>
      <c r="T135" s="122"/>
      <c r="U135" s="123"/>
    </row>
    <row r="136" spans="1:21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9"/>
      <c r="L136" s="49"/>
      <c r="M136" s="49"/>
      <c r="N136" s="49"/>
      <c r="O136" s="50"/>
      <c r="P136" s="50"/>
      <c r="Q136" s="50"/>
      <c r="R136" s="51"/>
      <c r="S136" s="51"/>
      <c r="T136" s="51"/>
      <c r="U136" s="51"/>
    </row>
    <row r="137" spans="1:21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9"/>
      <c r="L137" s="49"/>
      <c r="M137" s="49"/>
      <c r="N137" s="49"/>
      <c r="O137" s="50"/>
      <c r="P137" s="50"/>
      <c r="Q137" s="50"/>
      <c r="R137" s="51"/>
      <c r="S137" s="51"/>
      <c r="T137" s="51"/>
      <c r="U137" s="51"/>
    </row>
    <row r="138" spans="1:21" x14ac:dyDescent="0.2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9"/>
      <c r="L138" s="49"/>
      <c r="M138" s="49"/>
      <c r="N138" s="49"/>
      <c r="O138" s="50"/>
      <c r="P138" s="50"/>
      <c r="Q138" s="50"/>
      <c r="R138" s="51"/>
      <c r="S138" s="51"/>
      <c r="T138" s="51"/>
      <c r="U138" s="51"/>
    </row>
    <row r="139" spans="1:21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9"/>
      <c r="L139" s="49"/>
      <c r="M139" s="49"/>
      <c r="N139" s="49"/>
      <c r="O139" s="50"/>
      <c r="P139" s="50"/>
      <c r="Q139" s="50"/>
      <c r="R139" s="51"/>
      <c r="S139" s="51"/>
      <c r="T139" s="51"/>
      <c r="U139" s="51"/>
    </row>
    <row r="140" spans="1:21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49"/>
      <c r="O140" s="50"/>
      <c r="P140" s="50"/>
      <c r="Q140" s="50"/>
      <c r="R140" s="51"/>
      <c r="S140" s="51"/>
      <c r="T140" s="51"/>
      <c r="U140" s="51"/>
    </row>
    <row r="141" spans="1:21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9"/>
      <c r="L141" s="49"/>
      <c r="M141" s="49"/>
      <c r="N141" s="49"/>
      <c r="O141" s="50"/>
      <c r="P141" s="50"/>
      <c r="Q141" s="50"/>
      <c r="R141" s="51"/>
      <c r="S141" s="51"/>
      <c r="T141" s="51"/>
      <c r="U141" s="51"/>
    </row>
    <row r="144" spans="1:21" ht="22.5" customHeight="1" x14ac:dyDescent="0.25">
      <c r="A144" s="147" t="s">
        <v>100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</row>
    <row r="145" spans="1:21" ht="27.75" customHeight="1" x14ac:dyDescent="0.25">
      <c r="A145" s="125" t="s">
        <v>27</v>
      </c>
      <c r="B145" s="125" t="s">
        <v>26</v>
      </c>
      <c r="C145" s="125"/>
      <c r="D145" s="125"/>
      <c r="E145" s="125"/>
      <c r="F145" s="125"/>
      <c r="G145" s="125"/>
      <c r="H145" s="125"/>
      <c r="I145" s="125"/>
      <c r="J145" s="87" t="s">
        <v>40</v>
      </c>
      <c r="K145" s="87" t="s">
        <v>24</v>
      </c>
      <c r="L145" s="87"/>
      <c r="M145" s="87"/>
      <c r="N145" s="87"/>
      <c r="O145" s="87" t="s">
        <v>41</v>
      </c>
      <c r="P145" s="87"/>
      <c r="Q145" s="87"/>
      <c r="R145" s="87" t="s">
        <v>23</v>
      </c>
      <c r="S145" s="87"/>
      <c r="T145" s="87"/>
      <c r="U145" s="87" t="s">
        <v>22</v>
      </c>
    </row>
    <row r="146" spans="1:21" ht="16.5" customHeight="1" x14ac:dyDescent="0.25">
      <c r="A146" s="125"/>
      <c r="B146" s="125"/>
      <c r="C146" s="125"/>
      <c r="D146" s="125"/>
      <c r="E146" s="125"/>
      <c r="F146" s="125"/>
      <c r="G146" s="125"/>
      <c r="H146" s="125"/>
      <c r="I146" s="125"/>
      <c r="J146" s="87"/>
      <c r="K146" s="26" t="s">
        <v>28</v>
      </c>
      <c r="L146" s="26" t="s">
        <v>29</v>
      </c>
      <c r="M146" s="26" t="s">
        <v>108</v>
      </c>
      <c r="N146" s="26" t="s">
        <v>109</v>
      </c>
      <c r="O146" s="26" t="s">
        <v>34</v>
      </c>
      <c r="P146" s="26" t="s">
        <v>7</v>
      </c>
      <c r="Q146" s="26" t="s">
        <v>31</v>
      </c>
      <c r="R146" s="26" t="s">
        <v>32</v>
      </c>
      <c r="S146" s="26" t="s">
        <v>28</v>
      </c>
      <c r="T146" s="26" t="s">
        <v>33</v>
      </c>
      <c r="U146" s="87"/>
    </row>
    <row r="147" spans="1:21" ht="17.25" customHeight="1" x14ac:dyDescent="0.25">
      <c r="A147" s="88" t="s">
        <v>62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90"/>
    </row>
    <row r="148" spans="1:21" x14ac:dyDescent="0.25">
      <c r="A148" s="27" t="str">
        <f>IF(ISNA(INDEX($A$34:$U$115,MATCH($B148,$B$34:$B$115,0),1)),"",INDEX($A$34:$U$115,MATCH($B148,$B$34:$B$115,0),1))</f>
        <v>MMX3221</v>
      </c>
      <c r="B148" s="126" t="s">
        <v>128</v>
      </c>
      <c r="C148" s="126"/>
      <c r="D148" s="126"/>
      <c r="E148" s="126"/>
      <c r="F148" s="126"/>
      <c r="G148" s="126"/>
      <c r="H148" s="126"/>
      <c r="I148" s="126"/>
      <c r="J148" s="17">
        <f>IF(ISNA(INDEX($A$34:$U$115,MATCH($B148,$B$34:$B$115,0),10)),"",INDEX($A$34:$U$115,MATCH($B148,$B$34:$B$115,0),10))</f>
        <v>7</v>
      </c>
      <c r="K148" s="17">
        <f>IF(ISNA(INDEX($A$34:$U$115,MATCH($B148,$B$34:$B$115,0),11)),"",INDEX($A$34:$U$115,MATCH($B148,$B$34:$B$115,0),11))</f>
        <v>2</v>
      </c>
      <c r="L148" s="17">
        <f>IF(ISNA(INDEX($A$34:$U$115,MATCH($B148,$B$34:$B$115,0),12)),"",INDEX($A$34:$U$115,MATCH($B148,$B$34:$B$115,0),12))</f>
        <v>1</v>
      </c>
      <c r="M148" s="17">
        <f>IF(ISNA(INDEX($A$34:$U$115,MATCH($B148,$B$34:$B$115,0),13)),"",INDEX($A$34:$U$115,MATCH($B148,$B$34:$B$115,0),13))</f>
        <v>0</v>
      </c>
      <c r="N148" s="17">
        <f>IF(ISNA(INDEX($A$34:$U$115,MATCH($B148,$B$34:$B$115,0),14)),"",INDEX($A$34:$U$115,MATCH($B148,$B$34:$B$115,0),14))</f>
        <v>1</v>
      </c>
      <c r="O148" s="17">
        <f>IF(ISNA(INDEX($A$34:$U$115,MATCH($B148,$B$34:$B$115,0),15)),"",INDEX($A$34:$U$115,MATCH($B148,$B$34:$B$115,0),15))</f>
        <v>4</v>
      </c>
      <c r="P148" s="17">
        <f>IF(ISNA(INDEX($A$34:$U$115,MATCH($B148,$B$34:$B$115,0),16)),"",INDEX($A$34:$U$115,MATCH($B148,$B$34:$B$115,0),16))</f>
        <v>9</v>
      </c>
      <c r="Q148" s="25">
        <f>IF(ISNA(INDEX($A$34:$U$115,MATCH($B148,$B$34:$B$115,0),17)),"",INDEX($A$34:$U$115,MATCH($B148,$B$34:$B$115,0),17))</f>
        <v>13</v>
      </c>
      <c r="R148" s="25" t="str">
        <f>IF(ISNA(INDEX($A$34:$U$115,MATCH($B148,$B$34:$B$115,0),18)),"",INDEX($A$34:$U$115,MATCH($B148,$B$34:$B$115,0),18))</f>
        <v>E</v>
      </c>
      <c r="S148" s="25">
        <f>IF(ISNA(INDEX($A$34:$U$115,MATCH($B148,$B$34:$B$115,0),19)),"",INDEX($A$34:$U$115,MATCH($B148,$B$34:$B$115,0),19))</f>
        <v>0</v>
      </c>
      <c r="T148" s="25">
        <f>IF(ISNA(INDEX($A$34:$U$115,MATCH($B148,$B$34:$B$115,0),20)),"",INDEX($A$34:$U$115,MATCH($B148,$B$34:$B$115,0),20))</f>
        <v>0</v>
      </c>
      <c r="U148" s="16" t="s">
        <v>38</v>
      </c>
    </row>
    <row r="149" spans="1:21" x14ac:dyDescent="0.25">
      <c r="A149" s="27" t="str">
        <f>IF(ISNA(INDEX($A$34:$U$115,MATCH($B149,$B$34:$B$115,0),1)),"",INDEX($A$34:$U$115,MATCH($B149,$B$34:$B$115,0),1))</f>
        <v>MMX3222</v>
      </c>
      <c r="B149" s="126" t="s">
        <v>132</v>
      </c>
      <c r="C149" s="126"/>
      <c r="D149" s="126"/>
      <c r="E149" s="126"/>
      <c r="F149" s="126"/>
      <c r="G149" s="126"/>
      <c r="H149" s="126"/>
      <c r="I149" s="126"/>
      <c r="J149" s="17">
        <f>IF(ISNA(INDEX($A$34:$U$115,MATCH($B149,$B$34:$B$115,0),10)),"",INDEX($A$34:$U$115,MATCH($B149,$B$34:$B$115,0),10))</f>
        <v>7</v>
      </c>
      <c r="K149" s="17">
        <f>IF(ISNA(INDEX($A$34:$U$115,MATCH($B149,$B$34:$B$115,0),11)),"",INDEX($A$34:$U$115,MATCH($B149,$B$34:$B$115,0),11))</f>
        <v>2</v>
      </c>
      <c r="L149" s="17">
        <f>IF(ISNA(INDEX($A$34:$U$115,MATCH($B149,$B$34:$B$115,0),12)),"",INDEX($A$34:$U$115,MATCH($B149,$B$34:$B$115,0),12))</f>
        <v>1</v>
      </c>
      <c r="M149" s="17">
        <f>IF(ISNA(INDEX($A$34:$U$115,MATCH($B149,$B$34:$B$115,0),13)),"",INDEX($A$34:$U$115,MATCH($B149,$B$34:$B$115,0),13))</f>
        <v>0</v>
      </c>
      <c r="N149" s="17">
        <f>IF(ISNA(INDEX($A$34:$U$115,MATCH($B149,$B$34:$B$115,0),14)),"",INDEX($A$34:$U$115,MATCH($B149,$B$34:$B$115,0),14))</f>
        <v>1</v>
      </c>
      <c r="O149" s="17">
        <f>IF(ISNA(INDEX($A$34:$U$115,MATCH($B149,$B$34:$B$115,0),15)),"",INDEX($A$34:$U$115,MATCH($B149,$B$34:$B$115,0),15))</f>
        <v>4</v>
      </c>
      <c r="P149" s="17">
        <f>IF(ISNA(INDEX($A$34:$U$115,MATCH($B149,$B$34:$B$115,0),16)),"",INDEX($A$34:$U$115,MATCH($B149,$B$34:$B$115,0),16))</f>
        <v>9</v>
      </c>
      <c r="Q149" s="25">
        <f>IF(ISNA(INDEX($A$34:$U$115,MATCH($B149,$B$34:$B$115,0),17)),"",INDEX($A$34:$U$115,MATCH($B149,$B$34:$B$115,0),17))</f>
        <v>13</v>
      </c>
      <c r="R149" s="25">
        <f>IF(ISNA(INDEX($A$34:$U$115,MATCH($B149,$B$34:$B$115,0),18)),"",INDEX($A$34:$U$115,MATCH($B149,$B$34:$B$115,0),18))</f>
        <v>0</v>
      </c>
      <c r="S149" s="25">
        <f>IF(ISNA(INDEX($A$34:$U$115,MATCH($B149,$B$34:$B$115,0),19)),"",INDEX($A$34:$U$115,MATCH($B149,$B$34:$B$115,0),19))</f>
        <v>0</v>
      </c>
      <c r="T149" s="25" t="str">
        <f>IF(ISNA(INDEX($A$34:$U$115,MATCH($B149,$B$34:$B$115,0),20)),"",INDEX($A$34:$U$115,MATCH($B149,$B$34:$B$115,0),20))</f>
        <v>VP</v>
      </c>
      <c r="U149" s="16" t="s">
        <v>38</v>
      </c>
    </row>
    <row r="150" spans="1:21" x14ac:dyDescent="0.25">
      <c r="A150" s="27" t="str">
        <f>IF(ISNA(INDEX($A$34:$U$115,MATCH($B150,$B$34:$B$115,0),1)),"",INDEX($A$34:$U$115,MATCH($B150,$B$34:$B$115,0),1))</f>
        <v>MMX3223</v>
      </c>
      <c r="B150" s="126" t="s">
        <v>134</v>
      </c>
      <c r="C150" s="126"/>
      <c r="D150" s="126"/>
      <c r="E150" s="126"/>
      <c r="F150" s="126"/>
      <c r="G150" s="126"/>
      <c r="H150" s="126"/>
      <c r="I150" s="126"/>
      <c r="J150" s="17">
        <f>IF(ISNA(INDEX($A$34:$U$115,MATCH($B150,$B$34:$B$115,0),10)),"",INDEX($A$34:$U$115,MATCH($B150,$B$34:$B$115,0),10))</f>
        <v>7</v>
      </c>
      <c r="K150" s="17">
        <f>IF(ISNA(INDEX($A$34:$U$115,MATCH($B150,$B$34:$B$115,0),11)),"",INDEX($A$34:$U$115,MATCH($B150,$B$34:$B$115,0),11))</f>
        <v>2</v>
      </c>
      <c r="L150" s="17">
        <f>IF(ISNA(INDEX($A$34:$U$115,MATCH($B150,$B$34:$B$115,0),12)),"",INDEX($A$34:$U$115,MATCH($B150,$B$34:$B$115,0),12))</f>
        <v>1</v>
      </c>
      <c r="M150" s="17">
        <f>IF(ISNA(INDEX($A$34:$U$115,MATCH($B150,$B$34:$B$115,0),13)),"",INDEX($A$34:$U$115,MATCH($B150,$B$34:$B$115,0),13))</f>
        <v>0</v>
      </c>
      <c r="N150" s="17">
        <f>IF(ISNA(INDEX($A$34:$U$115,MATCH($B150,$B$34:$B$115,0),14)),"",INDEX($A$34:$U$115,MATCH($B150,$B$34:$B$115,0),14))</f>
        <v>1</v>
      </c>
      <c r="O150" s="17">
        <f>IF(ISNA(INDEX($A$34:$U$115,MATCH($B150,$B$34:$B$115,0),15)),"",INDEX($A$34:$U$115,MATCH($B150,$B$34:$B$115,0),15))</f>
        <v>4</v>
      </c>
      <c r="P150" s="17">
        <f>IF(ISNA(INDEX($A$34:$U$115,MATCH($B150,$B$34:$B$115,0),16)),"",INDEX($A$34:$U$115,MATCH($B150,$B$34:$B$115,0),16))</f>
        <v>9</v>
      </c>
      <c r="Q150" s="25">
        <f>IF(ISNA(INDEX($A$34:$U$115,MATCH($B150,$B$34:$B$115,0),17)),"",INDEX($A$34:$U$115,MATCH($B150,$B$34:$B$115,0),17))</f>
        <v>13</v>
      </c>
      <c r="R150" s="25" t="str">
        <f>IF(ISNA(INDEX($A$34:$U$115,MATCH($B150,$B$34:$B$115,0),18)),"",INDEX($A$34:$U$115,MATCH($B150,$B$34:$B$115,0),18))</f>
        <v>E</v>
      </c>
      <c r="S150" s="25">
        <f>IF(ISNA(INDEX($A$34:$U$115,MATCH($B150,$B$34:$B$115,0),19)),"",INDEX($A$34:$U$115,MATCH($B150,$B$34:$B$115,0),19))</f>
        <v>0</v>
      </c>
      <c r="T150" s="25">
        <f>IF(ISNA(INDEX($A$34:$U$115,MATCH($B150,$B$34:$B$115,0),20)),"",INDEX($A$34:$U$115,MATCH($B150,$B$34:$B$115,0),20))</f>
        <v>0</v>
      </c>
      <c r="U150" s="16" t="s">
        <v>38</v>
      </c>
    </row>
    <row r="151" spans="1:21" x14ac:dyDescent="0.25">
      <c r="A151" s="18" t="s">
        <v>25</v>
      </c>
      <c r="B151" s="143"/>
      <c r="C151" s="144"/>
      <c r="D151" s="144"/>
      <c r="E151" s="144"/>
      <c r="F151" s="144"/>
      <c r="G151" s="144"/>
      <c r="H151" s="144"/>
      <c r="I151" s="145"/>
      <c r="J151" s="20">
        <f t="shared" ref="J151:Q151" si="48">SUM(J148:J150)</f>
        <v>21</v>
      </c>
      <c r="K151" s="20">
        <f t="shared" si="48"/>
        <v>6</v>
      </c>
      <c r="L151" s="20">
        <f t="shared" si="48"/>
        <v>3</v>
      </c>
      <c r="M151" s="20">
        <f t="shared" si="48"/>
        <v>0</v>
      </c>
      <c r="N151" s="20">
        <f t="shared" si="48"/>
        <v>3</v>
      </c>
      <c r="O151" s="20">
        <f t="shared" si="48"/>
        <v>12</v>
      </c>
      <c r="P151" s="20">
        <f t="shared" si="48"/>
        <v>27</v>
      </c>
      <c r="Q151" s="20">
        <f t="shared" si="48"/>
        <v>39</v>
      </c>
      <c r="R151" s="18">
        <f>COUNTIF(R148:R150,"E")</f>
        <v>2</v>
      </c>
      <c r="S151" s="18">
        <f>COUNTIF(S148:S150,"C")</f>
        <v>0</v>
      </c>
      <c r="T151" s="18">
        <f>COUNTIF(T148:T150,"VP")</f>
        <v>1</v>
      </c>
      <c r="U151" s="16"/>
    </row>
    <row r="152" spans="1:21" ht="18.75" customHeight="1" x14ac:dyDescent="0.25">
      <c r="A152" s="88" t="s">
        <v>63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90"/>
    </row>
    <row r="153" spans="1:21" x14ac:dyDescent="0.25">
      <c r="A153" s="27" t="str">
        <f>IF(ISNA(INDEX($A$34:$U$115,MATCH($B153,$B$34:$B$115,0),1)),"",INDEX($A$34:$U$115,MATCH($B153,$B$34:$B$115,0),1))</f>
        <v>MMX3224</v>
      </c>
      <c r="B153" s="126" t="s">
        <v>138</v>
      </c>
      <c r="C153" s="126"/>
      <c r="D153" s="126"/>
      <c r="E153" s="126"/>
      <c r="F153" s="126"/>
      <c r="G153" s="126"/>
      <c r="H153" s="126"/>
      <c r="I153" s="126"/>
      <c r="J153" s="17">
        <f>IF(ISNA(INDEX($A$34:$U$115,MATCH($B153,$B$34:$B$115,0),10)),"",INDEX($A$34:$U$115,MATCH($B153,$B$34:$B$115,0),10))</f>
        <v>9</v>
      </c>
      <c r="K153" s="17">
        <f>IF(ISNA(INDEX($A$34:$U$115,MATCH($B153,$B$34:$B$115,0),11)),"",INDEX($A$34:$U$115,MATCH($B153,$B$34:$B$115,0),11))</f>
        <v>2</v>
      </c>
      <c r="L153" s="17">
        <f>IF(ISNA(INDEX($A$34:$U$115,MATCH($B153,$B$34:$B$115,0),12)),"",INDEX($A$34:$U$115,MATCH($B153,$B$34:$B$115,0),12))</f>
        <v>1</v>
      </c>
      <c r="M153" s="17">
        <f>IF(ISNA(INDEX($A$34:$U$115,MATCH($B153,$B$34:$B$115,0),13)),"",INDEX($A$34:$U$115,MATCH($B153,$B$34:$B$115,0),13))</f>
        <v>0</v>
      </c>
      <c r="N153" s="17">
        <f>IF(ISNA(INDEX($A$34:$U$115,MATCH($B153,$B$34:$B$115,0),14)),"",INDEX($A$34:$U$115,MATCH($B153,$B$34:$B$115,0),14))</f>
        <v>1</v>
      </c>
      <c r="O153" s="17">
        <f>IF(ISNA(INDEX($A$34:$U$115,MATCH($B153,$B$34:$B$115,0),15)),"",INDEX($A$34:$U$115,MATCH($B153,$B$34:$B$115,0),15))</f>
        <v>4</v>
      </c>
      <c r="P153" s="17">
        <f>IF(ISNA(INDEX($A$34:$U$115,MATCH($B153,$B$34:$B$115,0),16)),"",INDEX($A$34:$U$115,MATCH($B153,$B$34:$B$115,0),16))</f>
        <v>15</v>
      </c>
      <c r="Q153" s="25">
        <f>IF(ISNA(INDEX($A$34:$U$115,MATCH($B153,$B$34:$B$115,0),17)),"",INDEX($A$34:$U$115,MATCH($B153,$B$34:$B$115,0),17))</f>
        <v>19</v>
      </c>
      <c r="R153" s="25" t="str">
        <f>IF(ISNA(INDEX($A$34:$U$115,MATCH($B153,$B$34:$B$115,0),18)),"",INDEX($A$34:$U$115,MATCH($B153,$B$34:$B$115,0),18))</f>
        <v>E</v>
      </c>
      <c r="S153" s="25">
        <f>IF(ISNA(INDEX($A$34:$U$115,MATCH($B153,$B$34:$B$115,0),19)),"",INDEX($A$34:$U$115,MATCH($B153,$B$34:$B$115,0),19))</f>
        <v>0</v>
      </c>
      <c r="T153" s="25">
        <f>IF(ISNA(INDEX($A$34:$U$115,MATCH($B153,$B$34:$B$115,0),20)),"",INDEX($A$34:$U$115,MATCH($B153,$B$34:$B$115,0),20))</f>
        <v>0</v>
      </c>
      <c r="U153" s="16" t="s">
        <v>38</v>
      </c>
    </row>
    <row r="154" spans="1:21" x14ac:dyDescent="0.25">
      <c r="A154" s="27" t="str">
        <f>IF(ISNA(INDEX($A$34:$U$115,MATCH($B154,$B$34:$B$115,0),1)),"",INDEX($A$34:$U$115,MATCH($B154,$B$34:$B$115,0),1))</f>
        <v>MMX3225</v>
      </c>
      <c r="B154" s="126" t="s">
        <v>140</v>
      </c>
      <c r="C154" s="126"/>
      <c r="D154" s="126"/>
      <c r="E154" s="126"/>
      <c r="F154" s="126"/>
      <c r="G154" s="126"/>
      <c r="H154" s="126"/>
      <c r="I154" s="126"/>
      <c r="J154" s="17">
        <f>IF(ISNA(INDEX($A$34:$U$115,MATCH($B154,$B$34:$B$115,0),10)),"",INDEX($A$34:$U$115,MATCH($B154,$B$34:$B$115,0),10))</f>
        <v>9</v>
      </c>
      <c r="K154" s="17">
        <f>IF(ISNA(INDEX($A$34:$U$115,MATCH($B154,$B$34:$B$115,0),11)),"",INDEX($A$34:$U$115,MATCH($B154,$B$34:$B$115,0),11))</f>
        <v>2</v>
      </c>
      <c r="L154" s="17">
        <f>IF(ISNA(INDEX($A$34:$U$115,MATCH($B154,$B$34:$B$115,0),12)),"",INDEX($A$34:$U$115,MATCH($B154,$B$34:$B$115,0),12))</f>
        <v>1</v>
      </c>
      <c r="M154" s="17">
        <f>IF(ISNA(INDEX($A$34:$U$115,MATCH($B154,$B$34:$B$115,0),13)),"",INDEX($A$34:$U$115,MATCH($B154,$B$34:$B$115,0),13))</f>
        <v>0</v>
      </c>
      <c r="N154" s="17">
        <f>IF(ISNA(INDEX($A$34:$U$115,MATCH($B154,$B$34:$B$115,0),14)),"",INDEX($A$34:$U$115,MATCH($B154,$B$34:$B$115,0),14))</f>
        <v>1</v>
      </c>
      <c r="O154" s="17">
        <f>IF(ISNA(INDEX($A$34:$U$115,MATCH($B154,$B$34:$B$115,0),15)),"",INDEX($A$34:$U$115,MATCH($B154,$B$34:$B$115,0),15))</f>
        <v>4</v>
      </c>
      <c r="P154" s="17">
        <f>IF(ISNA(INDEX($A$34:$U$115,MATCH($B154,$B$34:$B$115,0),16)),"",INDEX($A$34:$U$115,MATCH($B154,$B$34:$B$115,0),16))</f>
        <v>15</v>
      </c>
      <c r="Q154" s="25">
        <f>IF(ISNA(INDEX($A$34:$U$115,MATCH($B154,$B$34:$B$115,0),17)),"",INDEX($A$34:$U$115,MATCH($B154,$B$34:$B$115,0),17))</f>
        <v>19</v>
      </c>
      <c r="R154" s="25" t="str">
        <f>IF(ISNA(INDEX($A$34:$U$115,MATCH($B154,$B$34:$B$115,0),18)),"",INDEX($A$34:$U$115,MATCH($B154,$B$34:$B$115,0),18))</f>
        <v>E</v>
      </c>
      <c r="S154" s="25">
        <f>IF(ISNA(INDEX($A$34:$U$115,MATCH($B154,$B$34:$B$115,0),19)),"",INDEX($A$34:$U$115,MATCH($B154,$B$34:$B$115,0),19))</f>
        <v>0</v>
      </c>
      <c r="T154" s="25">
        <f>IF(ISNA(INDEX($A$34:$U$115,MATCH($B154,$B$34:$B$115,0),20)),"",INDEX($A$34:$U$115,MATCH($B154,$B$34:$B$115,0),20))</f>
        <v>0</v>
      </c>
      <c r="U154" s="16" t="s">
        <v>38</v>
      </c>
    </row>
    <row r="155" spans="1:21" x14ac:dyDescent="0.25">
      <c r="A155" s="27" t="str">
        <f>IF(ISNA(INDEX($A$34:$U$115,MATCH($B155,$B$34:$B$115,0),1)),"",INDEX($A$34:$U$115,MATCH($B155,$B$34:$B$115,0),1))</f>
        <v>MME3042</v>
      </c>
      <c r="B155" s="126" t="s">
        <v>182</v>
      </c>
      <c r="C155" s="126"/>
      <c r="D155" s="126"/>
      <c r="E155" s="126"/>
      <c r="F155" s="126"/>
      <c r="G155" s="126"/>
      <c r="H155" s="126"/>
      <c r="I155" s="126"/>
      <c r="J155" s="17">
        <f>IF(ISNA(INDEX($A$34:$U$115,MATCH($B155,$B$34:$B$115,0),10)),"",INDEX($A$34:$U$115,MATCH($B155,$B$34:$B$115,0),10))</f>
        <v>8</v>
      </c>
      <c r="K155" s="17">
        <f>IF(ISNA(INDEX($A$34:$U$115,MATCH($B155,$B$34:$B$115,0),11)),"",INDEX($A$34:$U$115,MATCH($B155,$B$34:$B$115,0),11))</f>
        <v>0</v>
      </c>
      <c r="L155" s="17">
        <f>IF(ISNA(INDEX($A$34:$U$115,MATCH($B155,$B$34:$B$115,0),12)),"",INDEX($A$34:$U$115,MATCH($B155,$B$34:$B$115,0),12))</f>
        <v>0</v>
      </c>
      <c r="M155" s="17">
        <f>IF(ISNA(INDEX($A$34:$U$115,MATCH($B155,$B$34:$B$115,0),13)),"",INDEX($A$34:$U$115,MATCH($B155,$B$34:$B$115,0),13))</f>
        <v>0</v>
      </c>
      <c r="N155" s="17">
        <f>IF(ISNA(INDEX($A$34:$U$115,MATCH($B155,$B$34:$B$115,0),14)),"",INDEX($A$34:$U$115,MATCH($B155,$B$34:$B$115,0),14))</f>
        <v>5</v>
      </c>
      <c r="O155" s="17">
        <f>IF(ISNA(INDEX($A$34:$U$115,MATCH($B155,$B$34:$B$115,0),15)),"",INDEX($A$34:$U$115,MATCH($B155,$B$34:$B$115,0),15))</f>
        <v>5</v>
      </c>
      <c r="P155" s="17">
        <f>IF(ISNA(INDEX($A$34:$U$115,MATCH($B155,$B$34:$B$115,0),16)),"",INDEX($A$34:$U$115,MATCH($B155,$B$34:$B$115,0),16))</f>
        <v>12</v>
      </c>
      <c r="Q155" s="25">
        <f>IF(ISNA(INDEX($A$34:$U$115,MATCH($B155,$B$34:$B$115,0),17)),"",INDEX($A$34:$U$115,MATCH($B155,$B$34:$B$115,0),17))</f>
        <v>17</v>
      </c>
      <c r="R155" s="25">
        <f>IF(ISNA(INDEX($A$34:$U$115,MATCH($B155,$B$34:$B$115,0),18)),"",INDEX($A$34:$U$115,MATCH($B155,$B$34:$B$115,0),18))</f>
        <v>0</v>
      </c>
      <c r="S155" s="25" t="str">
        <f>IF(ISNA(INDEX($A$34:$U$115,MATCH($B155,$B$34:$B$115,0),19)),"",INDEX($A$34:$U$115,MATCH($B155,$B$34:$B$115,0),19))</f>
        <v>C</v>
      </c>
      <c r="T155" s="25">
        <f>IF(ISNA(INDEX($A$34:$U$115,MATCH($B155,$B$34:$B$115,0),20)),"",INDEX($A$34:$U$115,MATCH($B155,$B$34:$B$115,0),20))</f>
        <v>0</v>
      </c>
      <c r="U155" s="16" t="s">
        <v>38</v>
      </c>
    </row>
    <row r="156" spans="1:21" x14ac:dyDescent="0.25">
      <c r="A156" s="18" t="s">
        <v>25</v>
      </c>
      <c r="B156" s="125"/>
      <c r="C156" s="125"/>
      <c r="D156" s="125"/>
      <c r="E156" s="125"/>
      <c r="F156" s="125"/>
      <c r="G156" s="125"/>
      <c r="H156" s="125"/>
      <c r="I156" s="125"/>
      <c r="J156" s="20">
        <f t="shared" ref="J156:Q156" si="49">SUM(J153:J155)</f>
        <v>26</v>
      </c>
      <c r="K156" s="20">
        <f t="shared" si="49"/>
        <v>4</v>
      </c>
      <c r="L156" s="20">
        <f t="shared" si="49"/>
        <v>2</v>
      </c>
      <c r="M156" s="20">
        <f t="shared" si="49"/>
        <v>0</v>
      </c>
      <c r="N156" s="20">
        <f t="shared" si="49"/>
        <v>7</v>
      </c>
      <c r="O156" s="20">
        <f t="shared" si="49"/>
        <v>13</v>
      </c>
      <c r="P156" s="20">
        <f t="shared" si="49"/>
        <v>42</v>
      </c>
      <c r="Q156" s="20">
        <f t="shared" si="49"/>
        <v>55</v>
      </c>
      <c r="R156" s="18">
        <f>COUNTIF(R153:R155,"E")</f>
        <v>2</v>
      </c>
      <c r="S156" s="18">
        <f>COUNTIF(S153:S155,"C")</f>
        <v>1</v>
      </c>
      <c r="T156" s="18">
        <f>COUNTIF(T153:T155,"VP")</f>
        <v>0</v>
      </c>
      <c r="U156" s="19"/>
    </row>
    <row r="157" spans="1:21" ht="30.75" customHeight="1" x14ac:dyDescent="0.25">
      <c r="A157" s="127" t="s">
        <v>73</v>
      </c>
      <c r="B157" s="128"/>
      <c r="C157" s="128"/>
      <c r="D157" s="128"/>
      <c r="E157" s="128"/>
      <c r="F157" s="128"/>
      <c r="G157" s="128"/>
      <c r="H157" s="128"/>
      <c r="I157" s="129"/>
      <c r="J157" s="20">
        <f t="shared" ref="J157:T157" si="50">SUM(J151,J156)</f>
        <v>47</v>
      </c>
      <c r="K157" s="20">
        <f t="shared" si="50"/>
        <v>10</v>
      </c>
      <c r="L157" s="20">
        <f t="shared" si="50"/>
        <v>5</v>
      </c>
      <c r="M157" s="20">
        <f t="shared" si="50"/>
        <v>0</v>
      </c>
      <c r="N157" s="20">
        <f t="shared" si="50"/>
        <v>10</v>
      </c>
      <c r="O157" s="20">
        <f t="shared" si="50"/>
        <v>25</v>
      </c>
      <c r="P157" s="20">
        <f t="shared" si="50"/>
        <v>69</v>
      </c>
      <c r="Q157" s="20">
        <f t="shared" si="50"/>
        <v>94</v>
      </c>
      <c r="R157" s="20">
        <f t="shared" si="50"/>
        <v>4</v>
      </c>
      <c r="S157" s="20">
        <f t="shared" si="50"/>
        <v>1</v>
      </c>
      <c r="T157" s="20">
        <f t="shared" si="50"/>
        <v>1</v>
      </c>
      <c r="U157" s="46">
        <f>COUNTA(U148:U151,U153:U155)/(U41+U53+U68+U78)</f>
        <v>0.375</v>
      </c>
    </row>
    <row r="158" spans="1:21" ht="15.75" customHeight="1" x14ac:dyDescent="0.25">
      <c r="A158" s="136" t="s">
        <v>48</v>
      </c>
      <c r="B158" s="137"/>
      <c r="C158" s="137"/>
      <c r="D158" s="137"/>
      <c r="E158" s="137"/>
      <c r="F158" s="137"/>
      <c r="G158" s="137"/>
      <c r="H158" s="137"/>
      <c r="I158" s="137"/>
      <c r="J158" s="138"/>
      <c r="K158" s="20">
        <f t="shared" ref="K158:Q158" si="51">K151*14+K156*12</f>
        <v>132</v>
      </c>
      <c r="L158" s="20">
        <f t="shared" si="51"/>
        <v>66</v>
      </c>
      <c r="M158" s="20">
        <f t="shared" si="51"/>
        <v>0</v>
      </c>
      <c r="N158" s="20">
        <f t="shared" si="51"/>
        <v>126</v>
      </c>
      <c r="O158" s="20">
        <f t="shared" si="51"/>
        <v>324</v>
      </c>
      <c r="P158" s="20">
        <f t="shared" si="51"/>
        <v>882</v>
      </c>
      <c r="Q158" s="20">
        <f t="shared" si="51"/>
        <v>1206</v>
      </c>
      <c r="R158" s="118"/>
      <c r="S158" s="119"/>
      <c r="T158" s="119"/>
      <c r="U158" s="120"/>
    </row>
    <row r="159" spans="1:21" ht="17.25" customHeight="1" x14ac:dyDescent="0.25">
      <c r="A159" s="139"/>
      <c r="B159" s="140"/>
      <c r="C159" s="140"/>
      <c r="D159" s="140"/>
      <c r="E159" s="140"/>
      <c r="F159" s="140"/>
      <c r="G159" s="140"/>
      <c r="H159" s="140"/>
      <c r="I159" s="140"/>
      <c r="J159" s="141"/>
      <c r="K159" s="130">
        <f>SUM(K158:N158)</f>
        <v>324</v>
      </c>
      <c r="L159" s="131"/>
      <c r="M159" s="131"/>
      <c r="N159" s="132"/>
      <c r="O159" s="133">
        <f>SUM(O158:P158)</f>
        <v>1206</v>
      </c>
      <c r="P159" s="134"/>
      <c r="Q159" s="135"/>
      <c r="R159" s="121"/>
      <c r="S159" s="122"/>
      <c r="T159" s="122"/>
      <c r="U159" s="123"/>
    </row>
    <row r="160" spans="1:21" ht="12.75" customHeight="1" x14ac:dyDescent="0.25"/>
    <row r="161" spans="1:21" ht="12.75" customHeight="1" x14ac:dyDescent="0.25"/>
    <row r="162" spans="1:21" ht="12.75" customHeight="1" x14ac:dyDescent="0.25"/>
    <row r="163" spans="1:21" ht="12.75" customHeight="1" x14ac:dyDescent="0.25"/>
    <row r="164" spans="1:21" ht="12.75" customHeight="1" x14ac:dyDescent="0.25"/>
    <row r="165" spans="1:21" ht="12.75" customHeight="1" x14ac:dyDescent="0.25"/>
    <row r="166" spans="1:21" ht="12.75" customHeight="1" x14ac:dyDescent="0.25"/>
    <row r="167" spans="1:21" ht="12.75" customHeight="1" x14ac:dyDescent="0.25"/>
    <row r="168" spans="1:21" ht="12.75" customHeight="1" x14ac:dyDescent="0.25"/>
    <row r="169" spans="1:21" ht="12.75" customHeight="1" x14ac:dyDescent="0.25"/>
    <row r="170" spans="1:21" ht="12.75" customHeight="1" x14ac:dyDescent="0.25"/>
    <row r="171" spans="1:21" ht="12.75" customHeight="1" x14ac:dyDescent="0.25"/>
    <row r="172" spans="1:21" ht="12.75" customHeight="1" x14ac:dyDescent="0.25"/>
    <row r="173" spans="1:21" ht="12.75" customHeight="1" x14ac:dyDescent="0.25"/>
    <row r="174" spans="1:21" ht="12.75" customHeight="1" x14ac:dyDescent="0.25"/>
    <row r="175" spans="1:21" ht="22.5" customHeight="1" x14ac:dyDescent="0.25">
      <c r="A175" s="125" t="s">
        <v>67</v>
      </c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</row>
    <row r="176" spans="1:21" ht="26.25" customHeight="1" x14ac:dyDescent="0.25">
      <c r="A176" s="125" t="s">
        <v>27</v>
      </c>
      <c r="B176" s="125" t="s">
        <v>26</v>
      </c>
      <c r="C176" s="125"/>
      <c r="D176" s="125"/>
      <c r="E176" s="125"/>
      <c r="F176" s="125"/>
      <c r="G176" s="125"/>
      <c r="H176" s="125"/>
      <c r="I176" s="125"/>
      <c r="J176" s="87" t="s">
        <v>40</v>
      </c>
      <c r="K176" s="87" t="s">
        <v>24</v>
      </c>
      <c r="L176" s="87"/>
      <c r="M176" s="87"/>
      <c r="N176" s="87"/>
      <c r="O176" s="87" t="s">
        <v>41</v>
      </c>
      <c r="P176" s="87"/>
      <c r="Q176" s="87"/>
      <c r="R176" s="87" t="s">
        <v>23</v>
      </c>
      <c r="S176" s="87"/>
      <c r="T176" s="87"/>
      <c r="U176" s="87" t="s">
        <v>22</v>
      </c>
    </row>
    <row r="177" spans="1:22" x14ac:dyDescent="0.25">
      <c r="A177" s="125"/>
      <c r="B177" s="125"/>
      <c r="C177" s="125"/>
      <c r="D177" s="125"/>
      <c r="E177" s="125"/>
      <c r="F177" s="125"/>
      <c r="G177" s="125"/>
      <c r="H177" s="125"/>
      <c r="I177" s="125"/>
      <c r="J177" s="87"/>
      <c r="K177" s="26" t="s">
        <v>28</v>
      </c>
      <c r="L177" s="26" t="s">
        <v>29</v>
      </c>
      <c r="M177" s="26" t="s">
        <v>108</v>
      </c>
      <c r="N177" s="26" t="s">
        <v>109</v>
      </c>
      <c r="O177" s="26" t="s">
        <v>34</v>
      </c>
      <c r="P177" s="26" t="s">
        <v>7</v>
      </c>
      <c r="Q177" s="26" t="s">
        <v>31</v>
      </c>
      <c r="R177" s="26" t="s">
        <v>32</v>
      </c>
      <c r="S177" s="26" t="s">
        <v>28</v>
      </c>
      <c r="T177" s="26" t="s">
        <v>33</v>
      </c>
      <c r="U177" s="87"/>
    </row>
    <row r="178" spans="1:22" ht="18.75" customHeight="1" x14ac:dyDescent="0.25">
      <c r="A178" s="88" t="s">
        <v>62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90"/>
    </row>
    <row r="179" spans="1:22" ht="32.25" customHeight="1" x14ac:dyDescent="0.25">
      <c r="A179" s="27" t="str">
        <f>IF(ISNA(INDEX($A$34:$U$115,MATCH($B179,$B$34:$B$115,0),1)),"",INDEX($A$34:$U$115,MATCH($B179,$B$34:$B$115,0),1))</f>
        <v>MMR3041</v>
      </c>
      <c r="B179" s="142" t="s">
        <v>136</v>
      </c>
      <c r="C179" s="142"/>
      <c r="D179" s="142"/>
      <c r="E179" s="142"/>
      <c r="F179" s="142"/>
      <c r="G179" s="142"/>
      <c r="H179" s="142"/>
      <c r="I179" s="142"/>
      <c r="J179" s="17">
        <f>IF(ISNA(INDEX($A$34:$U$115,MATCH($B179,$B$34:$B$115,0),10)),"",INDEX($A$34:$U$115,MATCH($B179,$B$34:$B$115,0),10))</f>
        <v>8</v>
      </c>
      <c r="K179" s="17">
        <f>IF(ISNA(INDEX($A$34:$U$115,MATCH($B179,$B$34:$B$115,0),11)),"",INDEX($A$34:$U$115,MATCH($B179,$B$34:$B$115,0),11))</f>
        <v>2</v>
      </c>
      <c r="L179" s="17">
        <f>IF(ISNA(INDEX($A$34:$U$115,MATCH($B179,$B$34:$B$115,0),12)),"",INDEX($A$34:$U$115,MATCH($B179,$B$34:$B$115,0),12))</f>
        <v>1</v>
      </c>
      <c r="M179" s="17">
        <f>IF(ISNA(INDEX($A$34:$U$115,MATCH($B179,$B$34:$B$115,0),13)),"",INDEX($A$34:$U$115,MATCH($B179,$B$34:$B$115,0),13))</f>
        <v>0</v>
      </c>
      <c r="N179" s="17">
        <f>IF(ISNA(INDEX($A$34:$U$115,MATCH($B179,$B$34:$B$115,0),14)),"",INDEX($A$34:$U$115,MATCH($B179,$B$34:$B$115,0),14))</f>
        <v>1</v>
      </c>
      <c r="O179" s="17">
        <f>IF(ISNA(INDEX($A$34:$U$115,MATCH($B179,$B$34:$B$115,0),15)),"",INDEX($A$34:$U$115,MATCH($B179,$B$34:$B$115,0),15))</f>
        <v>4</v>
      </c>
      <c r="P179" s="17">
        <f>IF(ISNA(INDEX($A$34:$U$115,MATCH($B179,$B$34:$B$115,0),16)),"",INDEX($A$34:$U$115,MATCH($B179,$B$34:$B$115,0),16))</f>
        <v>10</v>
      </c>
      <c r="Q179" s="25">
        <f>IF(ISNA(INDEX($A$34:$U$115,MATCH($B179,$B$34:$B$115,0),17)),"",INDEX($A$34:$U$115,MATCH($B179,$B$34:$B$115,0),17))</f>
        <v>14</v>
      </c>
      <c r="R179" s="25">
        <f>IF(ISNA(INDEX($A$34:$U$115,MATCH($B179,$B$34:$B$115,0),18)),"",INDEX($A$34:$U$115,MATCH($B179,$B$34:$B$115,0),18))</f>
        <v>0</v>
      </c>
      <c r="S179" s="25" t="str">
        <f>IF(ISNA(INDEX($A$34:$U$115,MATCH($B179,$B$34:$B$115,0),19)),"",INDEX($A$34:$U$115,MATCH($B179,$B$34:$B$115,0),19))</f>
        <v>C</v>
      </c>
      <c r="T179" s="25">
        <f>IF(ISNA(INDEX($A$34:$U$115,MATCH($B179,$B$34:$B$115,0),20)),"",INDEX($A$34:$U$115,MATCH($B179,$B$34:$B$115,0),20))</f>
        <v>0</v>
      </c>
      <c r="U179" s="16" t="s">
        <v>39</v>
      </c>
    </row>
    <row r="180" spans="1:22" x14ac:dyDescent="0.25">
      <c r="A180" s="18" t="s">
        <v>25</v>
      </c>
      <c r="B180" s="143"/>
      <c r="C180" s="144"/>
      <c r="D180" s="144"/>
      <c r="E180" s="144"/>
      <c r="F180" s="144"/>
      <c r="G180" s="144"/>
      <c r="H180" s="144"/>
      <c r="I180" s="145"/>
      <c r="J180" s="20">
        <f t="shared" ref="J180:Q180" si="52">SUM(J179:J179)</f>
        <v>8</v>
      </c>
      <c r="K180" s="20">
        <f t="shared" si="52"/>
        <v>2</v>
      </c>
      <c r="L180" s="20">
        <f t="shared" si="52"/>
        <v>1</v>
      </c>
      <c r="M180" s="20">
        <f t="shared" si="52"/>
        <v>0</v>
      </c>
      <c r="N180" s="20">
        <f t="shared" si="52"/>
        <v>1</v>
      </c>
      <c r="O180" s="20">
        <f t="shared" si="52"/>
        <v>4</v>
      </c>
      <c r="P180" s="20">
        <f t="shared" si="52"/>
        <v>10</v>
      </c>
      <c r="Q180" s="20">
        <f t="shared" si="52"/>
        <v>14</v>
      </c>
      <c r="R180" s="18">
        <f>COUNTIF(R179:R179,"E")</f>
        <v>0</v>
      </c>
      <c r="S180" s="18">
        <f>COUNTIF(S179:S179,"C")</f>
        <v>1</v>
      </c>
      <c r="T180" s="18">
        <f>COUNTIF(T179:T179,"VP")</f>
        <v>0</v>
      </c>
      <c r="U180" s="16"/>
    </row>
    <row r="181" spans="1:22" ht="18" customHeight="1" x14ac:dyDescent="0.25">
      <c r="A181" s="88" t="s">
        <v>64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90"/>
    </row>
    <row r="182" spans="1:22" x14ac:dyDescent="0.25">
      <c r="A182" s="27" t="str">
        <f>IF(ISNA(INDEX($A$34:$U$115,MATCH($B182,$B$34:$B$115,0),1)),"",INDEX($A$34:$U$115,MATCH($B182,$B$34:$B$115,0),1))</f>
        <v/>
      </c>
      <c r="B182" s="126" t="s">
        <v>142</v>
      </c>
      <c r="C182" s="126"/>
      <c r="D182" s="126"/>
      <c r="E182" s="126"/>
      <c r="F182" s="126"/>
      <c r="G182" s="126"/>
      <c r="H182" s="126"/>
      <c r="I182" s="126"/>
      <c r="J182" s="17" t="str">
        <f>IF(ISNA(INDEX($A$34:$U$115,MATCH($B182,$B$34:$B$115,0),10)),"",INDEX($A$34:$U$115,MATCH($B182,$B$34:$B$115,0),10))</f>
        <v/>
      </c>
      <c r="K182" s="17" t="str">
        <f>IF(ISNA(INDEX($A$34:$U$115,MATCH($B182,$B$34:$B$115,0),11)),"",INDEX($A$34:$U$115,MATCH($B182,$B$34:$B$115,0),11))</f>
        <v/>
      </c>
      <c r="L182" s="17" t="str">
        <f>IF(ISNA(INDEX($A$34:$U$115,MATCH($B182,$B$34:$B$115,0),12)),"",INDEX($A$34:$U$115,MATCH($B182,$B$34:$B$115,0),12))</f>
        <v/>
      </c>
      <c r="M182" s="17" t="str">
        <f>IF(ISNA(INDEX($A$34:$U$115,MATCH($B182,$B$34:$B$115,0),13)),"",INDEX($A$34:$U$115,MATCH($B182,$B$34:$B$115,0),13))</f>
        <v/>
      </c>
      <c r="N182" s="17" t="str">
        <f>IF(ISNA(INDEX($A$34:$U$115,MATCH($B182,$B$34:$B$115,0),14)),"",INDEX($A$34:$U$115,MATCH($B182,$B$34:$B$115,0),14))</f>
        <v/>
      </c>
      <c r="O182" s="17" t="str">
        <f>IF(ISNA(INDEX($A$34:$U$115,MATCH($B182,$B$34:$B$115,0),15)),"",INDEX($A$34:$U$115,MATCH($B182,$B$34:$B$115,0),15))</f>
        <v/>
      </c>
      <c r="P182" s="17" t="str">
        <f>IF(ISNA(INDEX($A$34:$U$115,MATCH($B182,$B$34:$B$115,0),16)),"",INDEX($A$34:$U$115,MATCH($B182,$B$34:$B$115,0),16))</f>
        <v/>
      </c>
      <c r="Q182" s="25" t="str">
        <f>IF(ISNA(INDEX($A$34:$U$115,MATCH($B182,$B$34:$B$115,0),17)),"",INDEX($A$34:$U$115,MATCH($B182,$B$34:$B$115,0),17))</f>
        <v/>
      </c>
      <c r="R182" s="25" t="str">
        <f>IF(ISNA(INDEX($A$34:$U$115,MATCH($B182,$B$34:$B$115,0),18)),"",INDEX($A$34:$U$115,MATCH($B182,$B$34:$B$115,0),18))</f>
        <v/>
      </c>
      <c r="S182" s="25" t="str">
        <f>IF(ISNA(INDEX($A$34:$U$115,MATCH($B182,$B$34:$B$115,0),19)),"",INDEX($A$34:$U$115,MATCH($B182,$B$34:$B$115,0),19))</f>
        <v/>
      </c>
      <c r="T182" s="25" t="str">
        <f>IF(ISNA(INDEX($A$34:$U$115,MATCH($B182,$B$34:$B$115,0),20)),"",INDEX($A$34:$U$115,MATCH($B182,$B$34:$B$115,0),20))</f>
        <v/>
      </c>
      <c r="U182" s="16" t="s">
        <v>39</v>
      </c>
    </row>
    <row r="183" spans="1:22" x14ac:dyDescent="0.25">
      <c r="A183" s="18" t="s">
        <v>25</v>
      </c>
      <c r="B183" s="125"/>
      <c r="C183" s="125"/>
      <c r="D183" s="125"/>
      <c r="E183" s="125"/>
      <c r="F183" s="125"/>
      <c r="G183" s="125"/>
      <c r="H183" s="125"/>
      <c r="I183" s="125"/>
      <c r="J183" s="20">
        <f t="shared" ref="J183:Q183" si="53">SUM(J182:J182)</f>
        <v>0</v>
      </c>
      <c r="K183" s="20">
        <f t="shared" si="53"/>
        <v>0</v>
      </c>
      <c r="L183" s="20">
        <f t="shared" si="53"/>
        <v>0</v>
      </c>
      <c r="M183" s="20">
        <f t="shared" si="53"/>
        <v>0</v>
      </c>
      <c r="N183" s="20">
        <f t="shared" si="53"/>
        <v>0</v>
      </c>
      <c r="O183" s="20">
        <f t="shared" si="53"/>
        <v>0</v>
      </c>
      <c r="P183" s="20">
        <f t="shared" si="53"/>
        <v>0</v>
      </c>
      <c r="Q183" s="20">
        <f t="shared" si="53"/>
        <v>0</v>
      </c>
      <c r="R183" s="18">
        <f>COUNTIF(R182:R182,"E")</f>
        <v>0</v>
      </c>
      <c r="S183" s="18">
        <f>COUNTIF(S182:S182,"C")</f>
        <v>0</v>
      </c>
      <c r="T183" s="18">
        <f>COUNTIF(T182:T182,"VP")</f>
        <v>0</v>
      </c>
      <c r="U183" s="19"/>
    </row>
    <row r="184" spans="1:22" ht="25.5" customHeight="1" x14ac:dyDescent="0.25">
      <c r="A184" s="127" t="s">
        <v>73</v>
      </c>
      <c r="B184" s="128"/>
      <c r="C184" s="128"/>
      <c r="D184" s="128"/>
      <c r="E184" s="128"/>
      <c r="F184" s="128"/>
      <c r="G184" s="128"/>
      <c r="H184" s="128"/>
      <c r="I184" s="129"/>
      <c r="J184" s="20">
        <f t="shared" ref="J184:T184" si="54">SUM(J180,J183)</f>
        <v>8</v>
      </c>
      <c r="K184" s="20">
        <f t="shared" si="54"/>
        <v>2</v>
      </c>
      <c r="L184" s="20">
        <f t="shared" si="54"/>
        <v>1</v>
      </c>
      <c r="M184" s="20">
        <f t="shared" si="54"/>
        <v>0</v>
      </c>
      <c r="N184" s="20">
        <f t="shared" si="54"/>
        <v>1</v>
      </c>
      <c r="O184" s="20">
        <f t="shared" si="54"/>
        <v>4</v>
      </c>
      <c r="P184" s="20">
        <f t="shared" si="54"/>
        <v>10</v>
      </c>
      <c r="Q184" s="20">
        <f t="shared" si="54"/>
        <v>14</v>
      </c>
      <c r="R184" s="20">
        <f t="shared" si="54"/>
        <v>0</v>
      </c>
      <c r="S184" s="20">
        <f t="shared" si="54"/>
        <v>1</v>
      </c>
      <c r="T184" s="20">
        <f t="shared" si="54"/>
        <v>0</v>
      </c>
      <c r="U184" s="46">
        <f>COUNTA(U179,U182)/(U41+U53+U68+U78)</f>
        <v>0.125</v>
      </c>
    </row>
    <row r="185" spans="1:22" ht="13.5" customHeight="1" x14ac:dyDescent="0.25">
      <c r="A185" s="136" t="s">
        <v>48</v>
      </c>
      <c r="B185" s="137"/>
      <c r="C185" s="137"/>
      <c r="D185" s="137"/>
      <c r="E185" s="137"/>
      <c r="F185" s="137"/>
      <c r="G185" s="137"/>
      <c r="H185" s="137"/>
      <c r="I185" s="137"/>
      <c r="J185" s="138"/>
      <c r="K185" s="20">
        <f t="shared" ref="K185:Q185" si="55">K180*14+K183*12</f>
        <v>28</v>
      </c>
      <c r="L185" s="20">
        <f t="shared" si="55"/>
        <v>14</v>
      </c>
      <c r="M185" s="20">
        <f t="shared" si="55"/>
        <v>0</v>
      </c>
      <c r="N185" s="20">
        <f t="shared" si="55"/>
        <v>14</v>
      </c>
      <c r="O185" s="20">
        <f t="shared" si="55"/>
        <v>56</v>
      </c>
      <c r="P185" s="20">
        <f t="shared" si="55"/>
        <v>140</v>
      </c>
      <c r="Q185" s="20">
        <f t="shared" si="55"/>
        <v>196</v>
      </c>
      <c r="R185" s="118"/>
      <c r="S185" s="119"/>
      <c r="T185" s="119"/>
      <c r="U185" s="120"/>
    </row>
    <row r="186" spans="1:22" ht="16.5" customHeight="1" x14ac:dyDescent="0.25">
      <c r="A186" s="139"/>
      <c r="B186" s="140"/>
      <c r="C186" s="140"/>
      <c r="D186" s="140"/>
      <c r="E186" s="140"/>
      <c r="F186" s="140"/>
      <c r="G186" s="140"/>
      <c r="H186" s="140"/>
      <c r="I186" s="140"/>
      <c r="J186" s="141"/>
      <c r="K186" s="130">
        <f>SUM(K185:N185)</f>
        <v>56</v>
      </c>
      <c r="L186" s="131"/>
      <c r="M186" s="131"/>
      <c r="N186" s="132"/>
      <c r="O186" s="133">
        <f>SUM(O185:P185)</f>
        <v>196</v>
      </c>
      <c r="P186" s="134"/>
      <c r="Q186" s="135"/>
      <c r="R186" s="121"/>
      <c r="S186" s="122"/>
      <c r="T186" s="122"/>
      <c r="U186" s="123"/>
    </row>
    <row r="187" spans="1:22" ht="8.25" customHeight="1" x14ac:dyDescent="0.25"/>
    <row r="188" spans="1:22" x14ac:dyDescent="0.25">
      <c r="B188" s="2"/>
      <c r="C188" s="2"/>
      <c r="D188" s="2"/>
      <c r="E188" s="2"/>
      <c r="F188" s="2"/>
      <c r="G188" s="2"/>
      <c r="N188" s="8"/>
      <c r="O188" s="8"/>
      <c r="P188" s="8"/>
      <c r="Q188" s="8"/>
      <c r="R188" s="8"/>
      <c r="S188" s="8"/>
      <c r="T188" s="8"/>
    </row>
    <row r="190" spans="1:22" x14ac:dyDescent="0.25">
      <c r="A190" s="124" t="s">
        <v>59</v>
      </c>
      <c r="B190" s="124"/>
    </row>
    <row r="191" spans="1:22" x14ac:dyDescent="0.25">
      <c r="A191" s="110" t="s">
        <v>27</v>
      </c>
      <c r="B191" s="112" t="s">
        <v>51</v>
      </c>
      <c r="C191" s="113"/>
      <c r="D191" s="113"/>
      <c r="E191" s="113"/>
      <c r="F191" s="113"/>
      <c r="G191" s="114"/>
      <c r="H191" s="112" t="s">
        <v>54</v>
      </c>
      <c r="I191" s="114"/>
      <c r="J191" s="84" t="s">
        <v>55</v>
      </c>
      <c r="K191" s="85"/>
      <c r="L191" s="85"/>
      <c r="M191" s="85"/>
      <c r="N191" s="85"/>
      <c r="O191" s="85"/>
      <c r="P191" s="86"/>
      <c r="Q191" s="112" t="s">
        <v>47</v>
      </c>
      <c r="R191" s="114"/>
      <c r="S191" s="84" t="s">
        <v>56</v>
      </c>
      <c r="T191" s="85"/>
      <c r="U191" s="86"/>
      <c r="V191" s="43" t="s">
        <v>102</v>
      </c>
    </row>
    <row r="192" spans="1:22" x14ac:dyDescent="0.25">
      <c r="A192" s="111"/>
      <c r="B192" s="115"/>
      <c r="C192" s="116"/>
      <c r="D192" s="116"/>
      <c r="E192" s="116"/>
      <c r="F192" s="116"/>
      <c r="G192" s="117"/>
      <c r="H192" s="115"/>
      <c r="I192" s="117"/>
      <c r="J192" s="84" t="s">
        <v>34</v>
      </c>
      <c r="K192" s="86"/>
      <c r="L192" s="84" t="s">
        <v>7</v>
      </c>
      <c r="M192" s="85"/>
      <c r="N192" s="86"/>
      <c r="O192" s="84" t="s">
        <v>31</v>
      </c>
      <c r="P192" s="86"/>
      <c r="Q192" s="115"/>
      <c r="R192" s="117"/>
      <c r="S192" s="30" t="s">
        <v>57</v>
      </c>
      <c r="T192" s="84" t="s">
        <v>58</v>
      </c>
      <c r="U192" s="86"/>
    </row>
    <row r="193" spans="1:25" x14ac:dyDescent="0.25">
      <c r="A193" s="30">
        <v>1</v>
      </c>
      <c r="B193" s="84" t="s">
        <v>52</v>
      </c>
      <c r="C193" s="85"/>
      <c r="D193" s="85"/>
      <c r="E193" s="85"/>
      <c r="F193" s="85"/>
      <c r="G193" s="86"/>
      <c r="H193" s="95">
        <f>J193</f>
        <v>612</v>
      </c>
      <c r="I193" s="95"/>
      <c r="J193" s="96">
        <f>SUM((O41+O53+O68)*14+(O78*12)-J194)</f>
        <v>612</v>
      </c>
      <c r="K193" s="97"/>
      <c r="L193" s="96">
        <f>SUM((P41+P53+P68)*14+(P78*12)-L194)</f>
        <v>1382</v>
      </c>
      <c r="M193" s="98"/>
      <c r="N193" s="97"/>
      <c r="O193" s="99">
        <f>SUM(J193:N193)</f>
        <v>1994</v>
      </c>
      <c r="P193" s="100"/>
      <c r="Q193" s="101">
        <f>H193/H195</f>
        <v>0.69863013698630139</v>
      </c>
      <c r="R193" s="102"/>
      <c r="S193" s="31">
        <f>J41+J53-S194</f>
        <v>53</v>
      </c>
      <c r="T193" s="103">
        <f>J68+J78-T194</f>
        <v>28</v>
      </c>
      <c r="U193" s="104"/>
      <c r="V193" s="43" t="s">
        <v>179</v>
      </c>
    </row>
    <row r="194" spans="1:25" x14ac:dyDescent="0.25">
      <c r="A194" s="30">
        <v>2</v>
      </c>
      <c r="B194" s="84" t="s">
        <v>53</v>
      </c>
      <c r="C194" s="85"/>
      <c r="D194" s="85"/>
      <c r="E194" s="85"/>
      <c r="F194" s="85"/>
      <c r="G194" s="86"/>
      <c r="H194" s="95">
        <f>J194</f>
        <v>264</v>
      </c>
      <c r="I194" s="95"/>
      <c r="J194" s="105">
        <f>O113</f>
        <v>264</v>
      </c>
      <c r="K194" s="106"/>
      <c r="L194" s="105">
        <f>P113</f>
        <v>766</v>
      </c>
      <c r="M194" s="63"/>
      <c r="N194" s="106"/>
      <c r="O194" s="107">
        <f>SUM(J194:N194)</f>
        <v>1030</v>
      </c>
      <c r="P194" s="100"/>
      <c r="Q194" s="101">
        <f>H194/H195</f>
        <v>0.30136986301369861</v>
      </c>
      <c r="R194" s="102"/>
      <c r="S194" s="47">
        <v>7</v>
      </c>
      <c r="T194" s="108">
        <v>32</v>
      </c>
      <c r="U194" s="109"/>
      <c r="V194" s="212" t="str">
        <f>IF(O194=Q113,"Corect","Nu corespunde cu tabelul de opționale")</f>
        <v>Corect</v>
      </c>
      <c r="W194" s="213"/>
      <c r="X194" s="213"/>
      <c r="Y194" s="213"/>
    </row>
    <row r="195" spans="1:25" x14ac:dyDescent="0.25">
      <c r="A195" s="84" t="s">
        <v>25</v>
      </c>
      <c r="B195" s="85"/>
      <c r="C195" s="85"/>
      <c r="D195" s="85"/>
      <c r="E195" s="85"/>
      <c r="F195" s="85"/>
      <c r="G195" s="86"/>
      <c r="H195" s="87">
        <f>SUM(H193:I194)</f>
        <v>876</v>
      </c>
      <c r="I195" s="87"/>
      <c r="J195" s="87">
        <f>SUM(J193:K194)</f>
        <v>876</v>
      </c>
      <c r="K195" s="87"/>
      <c r="L195" s="88">
        <f>SUM(L193:N194)</f>
        <v>2148</v>
      </c>
      <c r="M195" s="89"/>
      <c r="N195" s="90"/>
      <c r="O195" s="88">
        <f>SUM(O193:P194)</f>
        <v>3024</v>
      </c>
      <c r="P195" s="90"/>
      <c r="Q195" s="91">
        <f>SUM(Q193:R194)</f>
        <v>1</v>
      </c>
      <c r="R195" s="92"/>
      <c r="S195" s="32">
        <f>SUM(S193:S194)</f>
        <v>60</v>
      </c>
      <c r="T195" s="93">
        <f>SUM(T193:U194)</f>
        <v>60</v>
      </c>
      <c r="U195" s="94"/>
    </row>
    <row r="197" spans="1:25" x14ac:dyDescent="0.25">
      <c r="A197" s="173" t="s">
        <v>80</v>
      </c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</row>
    <row r="209" spans="1:35" ht="12.75" customHeight="1" x14ac:dyDescent="0.25">
      <c r="A209" s="83" t="s">
        <v>74</v>
      </c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57" t="s">
        <v>103</v>
      </c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</row>
    <row r="210" spans="1:35" ht="27.75" customHeight="1" x14ac:dyDescent="0.25">
      <c r="A210" s="83" t="s">
        <v>27</v>
      </c>
      <c r="B210" s="83" t="s">
        <v>26</v>
      </c>
      <c r="C210" s="83"/>
      <c r="D210" s="83"/>
      <c r="E210" s="83"/>
      <c r="F210" s="83"/>
      <c r="G210" s="83"/>
      <c r="H210" s="83"/>
      <c r="I210" s="83"/>
      <c r="J210" s="147" t="s">
        <v>40</v>
      </c>
      <c r="K210" s="147" t="s">
        <v>24</v>
      </c>
      <c r="L210" s="147"/>
      <c r="M210" s="147"/>
      <c r="N210" s="147"/>
      <c r="O210" s="147" t="s">
        <v>41</v>
      </c>
      <c r="P210" s="170"/>
      <c r="Q210" s="170"/>
      <c r="R210" s="147" t="s">
        <v>23</v>
      </c>
      <c r="S210" s="147"/>
      <c r="T210" s="147"/>
      <c r="U210" s="147" t="s">
        <v>22</v>
      </c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</row>
    <row r="211" spans="1:35" x14ac:dyDescent="0.25">
      <c r="A211" s="83"/>
      <c r="B211" s="83"/>
      <c r="C211" s="83"/>
      <c r="D211" s="83"/>
      <c r="E211" s="83"/>
      <c r="F211" s="83"/>
      <c r="G211" s="83"/>
      <c r="H211" s="83"/>
      <c r="I211" s="83"/>
      <c r="J211" s="147"/>
      <c r="K211" s="5" t="s">
        <v>28</v>
      </c>
      <c r="L211" s="5" t="s">
        <v>29</v>
      </c>
      <c r="M211" s="5"/>
      <c r="N211" s="5" t="s">
        <v>30</v>
      </c>
      <c r="O211" s="5" t="s">
        <v>34</v>
      </c>
      <c r="P211" s="5" t="s">
        <v>7</v>
      </c>
      <c r="Q211" s="5" t="s">
        <v>31</v>
      </c>
      <c r="R211" s="5" t="s">
        <v>32</v>
      </c>
      <c r="S211" s="5" t="s">
        <v>28</v>
      </c>
      <c r="T211" s="5" t="s">
        <v>33</v>
      </c>
      <c r="U211" s="147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</row>
    <row r="212" spans="1:35" x14ac:dyDescent="0.25">
      <c r="A212" s="225" t="s">
        <v>75</v>
      </c>
      <c r="B212" s="225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</row>
    <row r="213" spans="1:35" x14ac:dyDescent="0.25">
      <c r="A213" s="37" t="s">
        <v>68</v>
      </c>
      <c r="B213" s="52" t="s">
        <v>81</v>
      </c>
      <c r="C213" s="52"/>
      <c r="D213" s="52"/>
      <c r="E213" s="52"/>
      <c r="F213" s="52"/>
      <c r="G213" s="52"/>
      <c r="H213" s="52"/>
      <c r="I213" s="52"/>
      <c r="J213" s="34">
        <v>5</v>
      </c>
      <c r="K213" s="34">
        <v>2</v>
      </c>
      <c r="L213" s="34">
        <v>1</v>
      </c>
      <c r="M213" s="34"/>
      <c r="N213" s="34">
        <v>0</v>
      </c>
      <c r="O213" s="35">
        <f>K213+L213+N213</f>
        <v>3</v>
      </c>
      <c r="P213" s="35">
        <f>Q213-O213</f>
        <v>6</v>
      </c>
      <c r="Q213" s="35">
        <f>ROUND(PRODUCT(J213,25)/14,0)</f>
        <v>9</v>
      </c>
      <c r="R213" s="34" t="s">
        <v>32</v>
      </c>
      <c r="S213" s="34"/>
      <c r="T213" s="36"/>
      <c r="U213" s="36" t="s">
        <v>37</v>
      </c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</row>
    <row r="214" spans="1:35" x14ac:dyDescent="0.25">
      <c r="A214" s="37" t="s">
        <v>69</v>
      </c>
      <c r="B214" s="52" t="s">
        <v>82</v>
      </c>
      <c r="C214" s="52"/>
      <c r="D214" s="52"/>
      <c r="E214" s="52"/>
      <c r="F214" s="52"/>
      <c r="G214" s="52"/>
      <c r="H214" s="52"/>
      <c r="I214" s="52"/>
      <c r="J214" s="34">
        <v>5</v>
      </c>
      <c r="K214" s="34">
        <v>2</v>
      </c>
      <c r="L214" s="34">
        <v>1</v>
      </c>
      <c r="M214" s="34"/>
      <c r="N214" s="34">
        <v>0</v>
      </c>
      <c r="O214" s="35">
        <f>K214+L214+N214</f>
        <v>3</v>
      </c>
      <c r="P214" s="35">
        <f>Q214-O214</f>
        <v>6</v>
      </c>
      <c r="Q214" s="35">
        <f>ROUND(PRODUCT(J214,25)/14,0)</f>
        <v>9</v>
      </c>
      <c r="R214" s="34" t="s">
        <v>32</v>
      </c>
      <c r="S214" s="34"/>
      <c r="T214" s="36"/>
      <c r="U214" s="36" t="s">
        <v>37</v>
      </c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</row>
    <row r="215" spans="1:35" x14ac:dyDescent="0.25">
      <c r="A215" s="59" t="s">
        <v>76</v>
      </c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1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</row>
    <row r="216" spans="1:35" ht="36" customHeight="1" x14ac:dyDescent="0.25">
      <c r="A216" s="37" t="s">
        <v>70</v>
      </c>
      <c r="B216" s="53" t="s">
        <v>95</v>
      </c>
      <c r="C216" s="54"/>
      <c r="D216" s="54"/>
      <c r="E216" s="54"/>
      <c r="F216" s="54"/>
      <c r="G216" s="54"/>
      <c r="H216" s="54"/>
      <c r="I216" s="55"/>
      <c r="J216" s="34">
        <v>5</v>
      </c>
      <c r="K216" s="34">
        <v>2</v>
      </c>
      <c r="L216" s="34">
        <v>1</v>
      </c>
      <c r="M216" s="34"/>
      <c r="N216" s="34">
        <v>0</v>
      </c>
      <c r="O216" s="35">
        <f>K216+L216+N216</f>
        <v>3</v>
      </c>
      <c r="P216" s="35">
        <f>Q216-O216</f>
        <v>6</v>
      </c>
      <c r="Q216" s="35">
        <f>ROUND(PRODUCT(J216,25)/14,0)</f>
        <v>9</v>
      </c>
      <c r="R216" s="34" t="s">
        <v>32</v>
      </c>
      <c r="S216" s="34"/>
      <c r="T216" s="36"/>
      <c r="U216" s="36" t="s">
        <v>83</v>
      </c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</row>
    <row r="217" spans="1:35" ht="15" customHeight="1" x14ac:dyDescent="0.25">
      <c r="A217" s="37" t="s">
        <v>71</v>
      </c>
      <c r="B217" s="53" t="s">
        <v>96</v>
      </c>
      <c r="C217" s="54"/>
      <c r="D217" s="54"/>
      <c r="E217" s="54"/>
      <c r="F217" s="54"/>
      <c r="G217" s="54"/>
      <c r="H217" s="54"/>
      <c r="I217" s="55"/>
      <c r="J217" s="34">
        <v>5</v>
      </c>
      <c r="K217" s="34">
        <v>1</v>
      </c>
      <c r="L217" s="34">
        <v>2</v>
      </c>
      <c r="M217" s="34"/>
      <c r="N217" s="34">
        <v>0</v>
      </c>
      <c r="O217" s="35">
        <f>K217+L217+N217</f>
        <v>3</v>
      </c>
      <c r="P217" s="35">
        <f>Q217-O217</f>
        <v>6</v>
      </c>
      <c r="Q217" s="35">
        <f>ROUND(PRODUCT(J217,25)/14,0)</f>
        <v>9</v>
      </c>
      <c r="R217" s="34" t="s">
        <v>32</v>
      </c>
      <c r="S217" s="34"/>
      <c r="T217" s="36"/>
      <c r="U217" s="36" t="s">
        <v>84</v>
      </c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</row>
    <row r="218" spans="1:35" x14ac:dyDescent="0.25">
      <c r="A218" s="59" t="s">
        <v>77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1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</row>
    <row r="219" spans="1:35" ht="29.25" customHeight="1" x14ac:dyDescent="0.25">
      <c r="A219" s="37" t="s">
        <v>86</v>
      </c>
      <c r="B219" s="53" t="s">
        <v>85</v>
      </c>
      <c r="C219" s="54"/>
      <c r="D219" s="54"/>
      <c r="E219" s="54"/>
      <c r="F219" s="54"/>
      <c r="G219" s="54"/>
      <c r="H219" s="54"/>
      <c r="I219" s="55"/>
      <c r="J219" s="34">
        <v>5</v>
      </c>
      <c r="K219" s="34">
        <v>0</v>
      </c>
      <c r="L219" s="34">
        <v>0</v>
      </c>
      <c r="M219" s="34"/>
      <c r="N219" s="34">
        <v>3</v>
      </c>
      <c r="O219" s="35">
        <f>K219+L219+N219</f>
        <v>3</v>
      </c>
      <c r="P219" s="35">
        <f>Q219-O219</f>
        <v>6</v>
      </c>
      <c r="Q219" s="35">
        <f>ROUND(PRODUCT(J219,25)/14,0)</f>
        <v>9</v>
      </c>
      <c r="R219" s="34"/>
      <c r="S219" s="34" t="s">
        <v>28</v>
      </c>
      <c r="T219" s="36"/>
      <c r="U219" s="36" t="s">
        <v>83</v>
      </c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</row>
    <row r="220" spans="1:35" ht="18" customHeight="1" x14ac:dyDescent="0.25">
      <c r="A220" s="37" t="s">
        <v>87</v>
      </c>
      <c r="B220" s="53" t="s">
        <v>97</v>
      </c>
      <c r="C220" s="54"/>
      <c r="D220" s="54"/>
      <c r="E220" s="54"/>
      <c r="F220" s="54"/>
      <c r="G220" s="54"/>
      <c r="H220" s="54"/>
      <c r="I220" s="55"/>
      <c r="J220" s="34">
        <v>5</v>
      </c>
      <c r="K220" s="34">
        <v>1</v>
      </c>
      <c r="L220" s="34">
        <v>2</v>
      </c>
      <c r="M220" s="34"/>
      <c r="N220" s="34">
        <v>0</v>
      </c>
      <c r="O220" s="35">
        <f>K220+L220+N220</f>
        <v>3</v>
      </c>
      <c r="P220" s="35">
        <f>Q220-O220</f>
        <v>6</v>
      </c>
      <c r="Q220" s="35">
        <f>ROUND(PRODUCT(J220,25)/14,0)</f>
        <v>9</v>
      </c>
      <c r="R220" s="34" t="s">
        <v>32</v>
      </c>
      <c r="S220" s="34"/>
      <c r="T220" s="36"/>
      <c r="U220" s="36" t="s">
        <v>84</v>
      </c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</row>
    <row r="221" spans="1:35" x14ac:dyDescent="0.25">
      <c r="A221" s="62" t="s">
        <v>78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4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</row>
    <row r="222" spans="1:35" ht="18.75" customHeight="1" x14ac:dyDescent="0.25">
      <c r="A222" s="37"/>
      <c r="B222" s="53" t="s">
        <v>72</v>
      </c>
      <c r="C222" s="54"/>
      <c r="D222" s="54"/>
      <c r="E222" s="54"/>
      <c r="F222" s="54"/>
      <c r="G222" s="54"/>
      <c r="H222" s="54"/>
      <c r="I222" s="55"/>
      <c r="J222" s="34">
        <v>5</v>
      </c>
      <c r="K222" s="34"/>
      <c r="L222" s="34"/>
      <c r="M222" s="34"/>
      <c r="N222" s="34"/>
      <c r="O222" s="35"/>
      <c r="P222" s="35"/>
      <c r="Q222" s="35"/>
      <c r="R222" s="34"/>
      <c r="S222" s="34"/>
      <c r="T222" s="36"/>
      <c r="U222" s="31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</row>
    <row r="223" spans="1:35" ht="20.25" customHeight="1" x14ac:dyDescent="0.25">
      <c r="A223" s="65" t="s">
        <v>73</v>
      </c>
      <c r="B223" s="66"/>
      <c r="C223" s="66"/>
      <c r="D223" s="66"/>
      <c r="E223" s="66"/>
      <c r="F223" s="66"/>
      <c r="G223" s="66"/>
      <c r="H223" s="66"/>
      <c r="I223" s="67"/>
      <c r="J223" s="38">
        <f>SUM(J213:J214,J216:J217,J219:J220,J222)</f>
        <v>35</v>
      </c>
      <c r="K223" s="38">
        <f t="shared" ref="K223:Q223" si="56">SUM(K213:K214,K216:K217,K219:K220,K222)</f>
        <v>8</v>
      </c>
      <c r="L223" s="38">
        <f t="shared" si="56"/>
        <v>7</v>
      </c>
      <c r="M223" s="38"/>
      <c r="N223" s="38">
        <f t="shared" si="56"/>
        <v>3</v>
      </c>
      <c r="O223" s="38">
        <f t="shared" si="56"/>
        <v>18</v>
      </c>
      <c r="P223" s="38">
        <f t="shared" si="56"/>
        <v>36</v>
      </c>
      <c r="Q223" s="38">
        <f t="shared" si="56"/>
        <v>54</v>
      </c>
      <c r="R223" s="40">
        <f>COUNTIF(R213:R214,"E")+COUNTIF(R216:R217,"E")+COUNTIF(R219:R220,"E")+COUNTIF(R222,"E")</f>
        <v>5</v>
      </c>
      <c r="S223" s="40">
        <f>COUNTIF(S213:S214,"C")+COUNTIF(S216:S217,"C")+COUNTIF(S219:S220,"C")+COUNTIF(S222,"C")</f>
        <v>1</v>
      </c>
      <c r="T223" s="40">
        <f>COUNTIF(T213:T214,"VP")+COUNTIF(T216:T217,"VP")+COUNTIF(T219:T220,"VP")+COUNTIF(T222,"VP")</f>
        <v>0</v>
      </c>
      <c r="U223" s="39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</row>
    <row r="224" spans="1:35" ht="20.25" customHeight="1" x14ac:dyDescent="0.25">
      <c r="A224" s="68" t="s">
        <v>48</v>
      </c>
      <c r="B224" s="69"/>
      <c r="C224" s="69"/>
      <c r="D224" s="69"/>
      <c r="E224" s="69"/>
      <c r="F224" s="69"/>
      <c r="G224" s="69"/>
      <c r="H224" s="69"/>
      <c r="I224" s="69"/>
      <c r="J224" s="70"/>
      <c r="K224" s="38">
        <f>SUM(K213:K214,K216:K217,K219:K220)*14</f>
        <v>112</v>
      </c>
      <c r="L224" s="38">
        <f t="shared" ref="L224:Q224" si="57">SUM(L213:L214,L216:L217,L219:L220)*14</f>
        <v>98</v>
      </c>
      <c r="M224" s="38"/>
      <c r="N224" s="38">
        <f t="shared" si="57"/>
        <v>42</v>
      </c>
      <c r="O224" s="38">
        <f t="shared" si="57"/>
        <v>252</v>
      </c>
      <c r="P224" s="38">
        <f t="shared" si="57"/>
        <v>504</v>
      </c>
      <c r="Q224" s="38">
        <f t="shared" si="57"/>
        <v>756</v>
      </c>
      <c r="R224" s="74"/>
      <c r="S224" s="75"/>
      <c r="T224" s="75"/>
      <c r="U224" s="76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</row>
    <row r="225" spans="1:35" ht="20.25" customHeight="1" x14ac:dyDescent="0.25">
      <c r="A225" s="71"/>
      <c r="B225" s="72"/>
      <c r="C225" s="72"/>
      <c r="D225" s="72"/>
      <c r="E225" s="72"/>
      <c r="F225" s="72"/>
      <c r="G225" s="72"/>
      <c r="H225" s="72"/>
      <c r="I225" s="72"/>
      <c r="J225" s="73"/>
      <c r="K225" s="80">
        <f>SUM(K224:N224)</f>
        <v>252</v>
      </c>
      <c r="L225" s="81"/>
      <c r="M225" s="81"/>
      <c r="N225" s="82"/>
      <c r="O225" s="80">
        <f>SUM(O224:P224)</f>
        <v>756</v>
      </c>
      <c r="P225" s="81"/>
      <c r="Q225" s="82"/>
      <c r="R225" s="77"/>
      <c r="S225" s="78"/>
      <c r="T225" s="78"/>
      <c r="U225" s="79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</row>
    <row r="226" spans="1:35" x14ac:dyDescent="0.25"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</row>
    <row r="227" spans="1:35" x14ac:dyDescent="0.25">
      <c r="A227" s="56" t="s">
        <v>88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</row>
    <row r="228" spans="1:35" x14ac:dyDescent="0.25">
      <c r="A228" s="56" t="s">
        <v>89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</row>
    <row r="229" spans="1:35" x14ac:dyDescent="0.25">
      <c r="A229" s="56" t="s">
        <v>90</v>
      </c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</row>
    <row r="230" spans="1:35" x14ac:dyDescent="0.25"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</row>
    <row r="231" spans="1:35" x14ac:dyDescent="0.25"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</row>
    <row r="232" spans="1:35" x14ac:dyDescent="0.25"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</row>
    <row r="233" spans="1:35" x14ac:dyDescent="0.25"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</row>
    <row r="234" spans="1:35" x14ac:dyDescent="0.25"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</row>
  </sheetData>
  <sheetProtection formatCells="0" formatRows="0" insertRows="0"/>
  <mergeCells count="278">
    <mergeCell ref="A197:U197"/>
    <mergeCell ref="A210:A211"/>
    <mergeCell ref="B210:I211"/>
    <mergeCell ref="J210:J211"/>
    <mergeCell ref="K210:N210"/>
    <mergeCell ref="O210:Q210"/>
    <mergeCell ref="R210:T210"/>
    <mergeCell ref="U210:U211"/>
    <mergeCell ref="A212:U212"/>
    <mergeCell ref="B126:I126"/>
    <mergeCell ref="V78:X78"/>
    <mergeCell ref="V194:Y194"/>
    <mergeCell ref="V4:Y4"/>
    <mergeCell ref="V5:Y5"/>
    <mergeCell ref="V3:Y3"/>
    <mergeCell ref="V6:Y6"/>
    <mergeCell ref="V28:W28"/>
    <mergeCell ref="V29:W29"/>
    <mergeCell ref="V41:X41"/>
    <mergeCell ref="V53:X53"/>
    <mergeCell ref="V68:X68"/>
    <mergeCell ref="V9:AA12"/>
    <mergeCell ref="V15:AA17"/>
    <mergeCell ref="V20:AB23"/>
    <mergeCell ref="AB16:AC16"/>
    <mergeCell ref="A109:U109"/>
    <mergeCell ref="B122:I122"/>
    <mergeCell ref="B123:I123"/>
    <mergeCell ref="B124:I124"/>
    <mergeCell ref="B121:I121"/>
    <mergeCell ref="A120:U120"/>
    <mergeCell ref="U118:U119"/>
    <mergeCell ref="B125:I125"/>
    <mergeCell ref="A117:U117"/>
    <mergeCell ref="A116:U116"/>
    <mergeCell ref="K118:N118"/>
    <mergeCell ref="O118:Q118"/>
    <mergeCell ref="B65:I65"/>
    <mergeCell ref="A61:U61"/>
    <mergeCell ref="J62:J63"/>
    <mergeCell ref="K62:N62"/>
    <mergeCell ref="A118:A119"/>
    <mergeCell ref="B118:I119"/>
    <mergeCell ref="J118:J119"/>
    <mergeCell ref="O62:Q62"/>
    <mergeCell ref="R62:T62"/>
    <mergeCell ref="U62:U63"/>
    <mergeCell ref="B74:I74"/>
    <mergeCell ref="B75:I75"/>
    <mergeCell ref="B76:I76"/>
    <mergeCell ref="B77:I77"/>
    <mergeCell ref="A62:A63"/>
    <mergeCell ref="B62:I63"/>
    <mergeCell ref="A92:U92"/>
    <mergeCell ref="R118:T118"/>
    <mergeCell ref="B64:I64"/>
    <mergeCell ref="U72:U73"/>
    <mergeCell ref="A16:K16"/>
    <mergeCell ref="B35:I36"/>
    <mergeCell ref="N17:U17"/>
    <mergeCell ref="N18:U18"/>
    <mergeCell ref="N13:U13"/>
    <mergeCell ref="N16:U16"/>
    <mergeCell ref="A11:K11"/>
    <mergeCell ref="A12:K12"/>
    <mergeCell ref="N25:U30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B53:I53"/>
    <mergeCell ref="B51:I51"/>
    <mergeCell ref="B52:I52"/>
    <mergeCell ref="B39:I39"/>
    <mergeCell ref="B37:I37"/>
    <mergeCell ref="B38:I38"/>
    <mergeCell ref="B41:I41"/>
    <mergeCell ref="B49:I49"/>
    <mergeCell ref="B50:I50"/>
    <mergeCell ref="B40:I40"/>
    <mergeCell ref="B47:I48"/>
    <mergeCell ref="B68:I68"/>
    <mergeCell ref="B72:I73"/>
    <mergeCell ref="B66:I66"/>
    <mergeCell ref="B67:I67"/>
    <mergeCell ref="A71:U71"/>
    <mergeCell ref="J72:J73"/>
    <mergeCell ref="K72:N72"/>
    <mergeCell ref="O72:Q72"/>
    <mergeCell ref="R72:T72"/>
    <mergeCell ref="A72:A73"/>
    <mergeCell ref="U47:U48"/>
    <mergeCell ref="R35:T35"/>
    <mergeCell ref="A46:U46"/>
    <mergeCell ref="J47:J48"/>
    <mergeCell ref="A47:A48"/>
    <mergeCell ref="A35:A36"/>
    <mergeCell ref="S3:U3"/>
    <mergeCell ref="S4:U4"/>
    <mergeCell ref="S5:U5"/>
    <mergeCell ref="N15:U15"/>
    <mergeCell ref="S6:U6"/>
    <mergeCell ref="N8:U11"/>
    <mergeCell ref="A15:K15"/>
    <mergeCell ref="J35:J36"/>
    <mergeCell ref="A34:U34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J93:J94"/>
    <mergeCell ref="K93:N93"/>
    <mergeCell ref="O93:Q93"/>
    <mergeCell ref="A93:A94"/>
    <mergeCell ref="B78:I78"/>
    <mergeCell ref="A1:K1"/>
    <mergeCell ref="A3:K3"/>
    <mergeCell ref="K47:N47"/>
    <mergeCell ref="N19:U19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O47:Q47"/>
    <mergeCell ref="R47:T47"/>
    <mergeCell ref="U35:U36"/>
    <mergeCell ref="O35:Q35"/>
    <mergeCell ref="K35:N35"/>
    <mergeCell ref="R93:T93"/>
    <mergeCell ref="K114:N114"/>
    <mergeCell ref="O114:Q114"/>
    <mergeCell ref="R113:U114"/>
    <mergeCell ref="A112:I112"/>
    <mergeCell ref="A113:J114"/>
    <mergeCell ref="B97:I97"/>
    <mergeCell ref="U93:U94"/>
    <mergeCell ref="B93:I94"/>
    <mergeCell ref="B108:I108"/>
    <mergeCell ref="A105:U105"/>
    <mergeCell ref="B101:I101"/>
    <mergeCell ref="B103:I103"/>
    <mergeCell ref="B110:I110"/>
    <mergeCell ref="B111:I111"/>
    <mergeCell ref="A95:U95"/>
    <mergeCell ref="A98:U98"/>
    <mergeCell ref="B106:I106"/>
    <mergeCell ref="B99:I99"/>
    <mergeCell ref="B100:I100"/>
    <mergeCell ref="B104:I104"/>
    <mergeCell ref="A102:U102"/>
    <mergeCell ref="B96:I96"/>
    <mergeCell ref="B107:I107"/>
    <mergeCell ref="B127:I127"/>
    <mergeCell ref="B150:I150"/>
    <mergeCell ref="A144:U144"/>
    <mergeCell ref="A147:U147"/>
    <mergeCell ref="B148:I148"/>
    <mergeCell ref="B131:I131"/>
    <mergeCell ref="B128:I128"/>
    <mergeCell ref="A145:A146"/>
    <mergeCell ref="B145:I146"/>
    <mergeCell ref="A130:U130"/>
    <mergeCell ref="J145:J146"/>
    <mergeCell ref="K145:N145"/>
    <mergeCell ref="B129:I129"/>
    <mergeCell ref="A134:J135"/>
    <mergeCell ref="R134:U135"/>
    <mergeCell ref="O135:Q135"/>
    <mergeCell ref="K135:N135"/>
    <mergeCell ref="A133:I133"/>
    <mergeCell ref="B132:I132"/>
    <mergeCell ref="U145:U146"/>
    <mergeCell ref="O145:Q145"/>
    <mergeCell ref="B156:I156"/>
    <mergeCell ref="A157:I157"/>
    <mergeCell ref="R145:T145"/>
    <mergeCell ref="B154:I154"/>
    <mergeCell ref="B155:I155"/>
    <mergeCell ref="B151:I151"/>
    <mergeCell ref="A152:U152"/>
    <mergeCell ref="B153:I153"/>
    <mergeCell ref="B149:I149"/>
    <mergeCell ref="A158:J159"/>
    <mergeCell ref="A176:A177"/>
    <mergeCell ref="A175:U175"/>
    <mergeCell ref="J176:J177"/>
    <mergeCell ref="K176:N176"/>
    <mergeCell ref="O176:Q176"/>
    <mergeCell ref="R158:U159"/>
    <mergeCell ref="K159:N159"/>
    <mergeCell ref="O159:Q159"/>
    <mergeCell ref="B176:I177"/>
    <mergeCell ref="R176:T176"/>
    <mergeCell ref="U176:U177"/>
    <mergeCell ref="R185:U186"/>
    <mergeCell ref="A190:B190"/>
    <mergeCell ref="B183:I183"/>
    <mergeCell ref="B182:I182"/>
    <mergeCell ref="A184:I184"/>
    <mergeCell ref="K186:N186"/>
    <mergeCell ref="O186:Q186"/>
    <mergeCell ref="A185:J186"/>
    <mergeCell ref="A178:U178"/>
    <mergeCell ref="B179:I179"/>
    <mergeCell ref="B180:I180"/>
    <mergeCell ref="A181:U181"/>
    <mergeCell ref="A191:A192"/>
    <mergeCell ref="B191:G192"/>
    <mergeCell ref="H191:I192"/>
    <mergeCell ref="J191:P191"/>
    <mergeCell ref="Q191:R192"/>
    <mergeCell ref="S191:U191"/>
    <mergeCell ref="J192:K192"/>
    <mergeCell ref="L192:N192"/>
    <mergeCell ref="O192:P192"/>
    <mergeCell ref="T192:U192"/>
    <mergeCell ref="A195:G195"/>
    <mergeCell ref="H195:I195"/>
    <mergeCell ref="J195:K195"/>
    <mergeCell ref="L195:N195"/>
    <mergeCell ref="O195:P195"/>
    <mergeCell ref="Q195:R195"/>
    <mergeCell ref="T195:U195"/>
    <mergeCell ref="B193:G193"/>
    <mergeCell ref="H193:I193"/>
    <mergeCell ref="J193:K193"/>
    <mergeCell ref="L193:N193"/>
    <mergeCell ref="O193:P193"/>
    <mergeCell ref="Q193:R193"/>
    <mergeCell ref="T193:U193"/>
    <mergeCell ref="B194:G194"/>
    <mergeCell ref="H194:I194"/>
    <mergeCell ref="J194:K194"/>
    <mergeCell ref="L194:N194"/>
    <mergeCell ref="O194:P194"/>
    <mergeCell ref="Q194:R194"/>
    <mergeCell ref="T194:U194"/>
    <mergeCell ref="B213:I213"/>
    <mergeCell ref="B219:I219"/>
    <mergeCell ref="A227:U227"/>
    <mergeCell ref="A228:U228"/>
    <mergeCell ref="A229:U229"/>
    <mergeCell ref="V209:AI210"/>
    <mergeCell ref="V211:AB234"/>
    <mergeCell ref="AC211:AI234"/>
    <mergeCell ref="A215:U215"/>
    <mergeCell ref="B216:I216"/>
    <mergeCell ref="A218:U218"/>
    <mergeCell ref="B220:I220"/>
    <mergeCell ref="A221:U221"/>
    <mergeCell ref="B222:I222"/>
    <mergeCell ref="A223:I223"/>
    <mergeCell ref="A224:J225"/>
    <mergeCell ref="R224:U225"/>
    <mergeCell ref="K225:N225"/>
    <mergeCell ref="O225:Q225"/>
    <mergeCell ref="B217:I217"/>
    <mergeCell ref="A209:U209"/>
    <mergeCell ref="B214:I214"/>
  </mergeCells>
  <phoneticPr fontId="5" type="noConversion"/>
  <conditionalFormatting sqref="V194 V3:V6 V28:V29">
    <cfRule type="cellIs" dxfId="23" priority="47" operator="equal">
      <formula>"E bine"</formula>
    </cfRule>
  </conditionalFormatting>
  <conditionalFormatting sqref="V194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194:W194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194:Y194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1:X41 V53:X53 V68:X68 V78:X78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194:W194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6">
    <dataValidation type="list" allowBlank="1" showInputMessage="1" showErrorMessage="1" sqref="S216:S217 S110:S111 S106:S108 S103:S104 S49:S52 S96:S97 S37:S40 S99:S101 S64:S67 S74:S77 S219:S220 S213:S214 S222" xr:uid="{00000000-0002-0000-0000-000000000000}">
      <formula1>$S$36</formula1>
    </dataValidation>
    <dataValidation type="list" allowBlank="1" showInputMessage="1" showErrorMessage="1" sqref="R216:R217 R110:R111 R106:R108 R103:R104 R49:R52 R96:R97 R37:R40 R99:R101 R64:R67 R74:R77 R219:R220 R213:R214 R222" xr:uid="{00000000-0002-0000-0000-000001000000}">
      <formula1>$R$36</formula1>
    </dataValidation>
    <dataValidation type="list" allowBlank="1" showInputMessage="1" showErrorMessage="1" sqref="T216:T217 T110:T111 T106:T108 T64:T67 T49:T52 T99:T101 T96:T97 T103:T104 T37:T40 T74:T77 T219:T220 T213:T214 T222" xr:uid="{00000000-0002-0000-0000-000002000000}">
      <formula1>$T$36</formula1>
    </dataValidation>
    <dataValidation type="list" allowBlank="1" showInputMessage="1" showErrorMessage="1" sqref="U121:U128 U110:U111 U106:U108 U131 U148:U150 U182 U179 U153:U155 U49:U52 U96:U97 U99:U101 U103:U104 U37:U40 U64:U67 U74:U77" xr:uid="{00000000-0002-0000-0000-000003000000}">
      <formula1>$P$33:$T$33</formula1>
    </dataValidation>
    <dataValidation type="list" allowBlank="1" showInputMessage="1" showErrorMessage="1" sqref="U151 U129 U180" xr:uid="{00000000-0002-0000-0000-000004000000}">
      <formula1>$Q$33:$T$33</formula1>
    </dataValidation>
    <dataValidation type="list" allowBlank="1" showInputMessage="1" showErrorMessage="1" sqref="B121:I128 B131:I131 B148:I150 B153:I155 B179:I179 B182:I182" xr:uid="{00000000-0002-0000-0000-000005000000}">
      <formula1>$B$35:$B$115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Octavian AGRATINI</oddFooter>
  </headerFooter>
  <ignoredErrors>
    <ignoredError sqref="R41" formula="1"/>
    <ignoredError sqref="K1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A1C59FE-C94D-41F1-9B8D-284040BC1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Ady-PC</cp:lastModifiedBy>
  <cp:lastPrinted>2017-11-13T09:25:13Z</cp:lastPrinted>
  <dcterms:created xsi:type="dcterms:W3CDTF">2013-06-27T08:19:59Z</dcterms:created>
  <dcterms:modified xsi:type="dcterms:W3CDTF">2019-04-24T07:04:33Z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