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vero\Downloads\"/>
    </mc:Choice>
  </mc:AlternateContent>
  <xr:revisionPtr revIDLastSave="0" documentId="8_{060AFF59-CCC7-4B34-BBF1-4DF7B1BAB613}" xr6:coauthVersionLast="41" xr6:coauthVersionMax="41" xr10:uidLastSave="{00000000-0000-0000-0000-000000000000}"/>
  <bookViews>
    <workbookView xWindow="8970" yWindow="1785" windowWidth="20505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75" i="1" l="1"/>
  <c r="Z3" i="1"/>
  <c r="Q69" i="1"/>
  <c r="A159" i="1"/>
  <c r="J159" i="1"/>
  <c r="K159" i="1"/>
  <c r="L159" i="1"/>
  <c r="M159" i="1"/>
  <c r="N159" i="1"/>
  <c r="O159" i="1"/>
  <c r="P159" i="1"/>
  <c r="Q159" i="1"/>
  <c r="R159" i="1"/>
  <c r="S159" i="1"/>
  <c r="T159" i="1"/>
  <c r="R153" i="1"/>
  <c r="R154" i="1"/>
  <c r="R155" i="1"/>
  <c r="Q62" i="1"/>
  <c r="R156" i="1"/>
  <c r="R157" i="1"/>
  <c r="R160" i="1"/>
  <c r="R161" i="1"/>
  <c r="R162" i="1"/>
  <c r="S156" i="1"/>
  <c r="S157" i="1"/>
  <c r="S160" i="1"/>
  <c r="S161" i="1"/>
  <c r="S162" i="1"/>
  <c r="T153" i="1"/>
  <c r="T154" i="1"/>
  <c r="T155" i="1"/>
  <c r="T156" i="1"/>
  <c r="T157" i="1"/>
  <c r="T160" i="1"/>
  <c r="T161" i="1"/>
  <c r="T162" i="1"/>
  <c r="R138" i="1"/>
  <c r="R139" i="1"/>
  <c r="R137" i="1"/>
  <c r="R140" i="1"/>
  <c r="R141" i="1"/>
  <c r="R130" i="1"/>
  <c r="R131" i="1"/>
  <c r="R132" i="1"/>
  <c r="R133" i="1"/>
  <c r="R134" i="1"/>
  <c r="R135" i="1"/>
  <c r="R142" i="1"/>
  <c r="S138" i="1"/>
  <c r="S139" i="1"/>
  <c r="S137" i="1"/>
  <c r="S140" i="1"/>
  <c r="S141" i="1"/>
  <c r="S134" i="1"/>
  <c r="S135" i="1"/>
  <c r="S142" i="1"/>
  <c r="T130" i="1"/>
  <c r="T131" i="1"/>
  <c r="T132" i="1"/>
  <c r="T133" i="1"/>
  <c r="T134" i="1"/>
  <c r="T135" i="1"/>
  <c r="T140" i="1"/>
  <c r="T141" i="1"/>
  <c r="T142" i="1"/>
  <c r="U142" i="1"/>
  <c r="R111" i="1"/>
  <c r="R109" i="1"/>
  <c r="R110" i="1"/>
  <c r="R112" i="1"/>
  <c r="R113" i="1"/>
  <c r="R114" i="1"/>
  <c r="Q50" i="1"/>
  <c r="R115" i="1"/>
  <c r="R116" i="1"/>
  <c r="R118" i="1"/>
  <c r="R119" i="1"/>
  <c r="R120" i="1"/>
  <c r="R121" i="1"/>
  <c r="T111" i="1"/>
  <c r="T109" i="1"/>
  <c r="T110" i="1"/>
  <c r="T112" i="1"/>
  <c r="T113" i="1"/>
  <c r="T114" i="1"/>
  <c r="T115" i="1"/>
  <c r="T116" i="1"/>
  <c r="T118" i="1"/>
  <c r="T119" i="1"/>
  <c r="T120" i="1"/>
  <c r="T121" i="1"/>
  <c r="S115" i="1"/>
  <c r="S116" i="1"/>
  <c r="S118" i="1"/>
  <c r="S119" i="1"/>
  <c r="S120" i="1"/>
  <c r="S121" i="1"/>
  <c r="A134" i="1"/>
  <c r="J134" i="1"/>
  <c r="K134" i="1"/>
  <c r="L134" i="1"/>
  <c r="M134" i="1"/>
  <c r="N134" i="1"/>
  <c r="O134" i="1"/>
  <c r="P134" i="1"/>
  <c r="Q134" i="1"/>
  <c r="O50" i="1"/>
  <c r="P50" i="1"/>
  <c r="Q80" i="1"/>
  <c r="O80" i="1"/>
  <c r="P80" i="1"/>
  <c r="V6" i="1"/>
  <c r="V5" i="1"/>
  <c r="V4" i="1"/>
  <c r="M138" i="1"/>
  <c r="A160" i="1"/>
  <c r="J160" i="1"/>
  <c r="K160" i="1"/>
  <c r="L160" i="1"/>
  <c r="M160" i="1"/>
  <c r="N160" i="1"/>
  <c r="O160" i="1"/>
  <c r="P160" i="1"/>
  <c r="Q160" i="1"/>
  <c r="O93" i="1"/>
  <c r="O92" i="1"/>
  <c r="O91" i="1"/>
  <c r="O89" i="1"/>
  <c r="O88" i="1"/>
  <c r="O87" i="1"/>
  <c r="O85" i="1"/>
  <c r="O84" i="1"/>
  <c r="O83" i="1"/>
  <c r="O81" i="1"/>
  <c r="O79" i="1"/>
  <c r="O78" i="1"/>
  <c r="O71" i="1"/>
  <c r="O70" i="1"/>
  <c r="O69" i="1"/>
  <c r="O63" i="1"/>
  <c r="O62" i="1"/>
  <c r="O61" i="1"/>
  <c r="O59" i="1"/>
  <c r="O53" i="1"/>
  <c r="O52" i="1"/>
  <c r="O51" i="1"/>
  <c r="O49" i="1"/>
  <c r="O43" i="1"/>
  <c r="O42" i="1"/>
  <c r="O41" i="1"/>
  <c r="O40" i="1"/>
  <c r="O39" i="1"/>
  <c r="M193" i="1"/>
  <c r="M192" i="1"/>
  <c r="M156" i="1"/>
  <c r="L155" i="1"/>
  <c r="L154" i="1"/>
  <c r="L153" i="1"/>
  <c r="M140" i="1"/>
  <c r="L139" i="1"/>
  <c r="L138" i="1"/>
  <c r="L137" i="1"/>
  <c r="L133" i="1"/>
  <c r="L132" i="1"/>
  <c r="L131" i="1"/>
  <c r="L130" i="1"/>
  <c r="M119" i="1"/>
  <c r="M118" i="1"/>
  <c r="M115" i="1"/>
  <c r="L114" i="1"/>
  <c r="L113" i="1"/>
  <c r="L112" i="1"/>
  <c r="L111" i="1"/>
  <c r="L110" i="1"/>
  <c r="L109" i="1"/>
  <c r="M95" i="1"/>
  <c r="M94" i="1"/>
  <c r="M72" i="1"/>
  <c r="M64" i="1"/>
  <c r="M54" i="1"/>
  <c r="M44" i="1"/>
  <c r="M120" i="1"/>
  <c r="M161" i="1"/>
  <c r="U72" i="1"/>
  <c r="J94" i="1"/>
  <c r="P69" i="1"/>
  <c r="U64" i="1"/>
  <c r="U54" i="1"/>
  <c r="U44" i="1"/>
  <c r="N193" i="1"/>
  <c r="L193" i="1"/>
  <c r="K193" i="1"/>
  <c r="T192" i="1"/>
  <c r="S192" i="1"/>
  <c r="R192" i="1"/>
  <c r="N192" i="1"/>
  <c r="L192" i="1"/>
  <c r="K192" i="1"/>
  <c r="J192" i="1"/>
  <c r="Q188" i="1"/>
  <c r="O188" i="1"/>
  <c r="Q182" i="1"/>
  <c r="O182" i="1"/>
  <c r="Q186" i="1"/>
  <c r="O186" i="1"/>
  <c r="Q189" i="1"/>
  <c r="O189" i="1"/>
  <c r="Q185" i="1"/>
  <c r="O185" i="1"/>
  <c r="Q183" i="1"/>
  <c r="O183" i="1"/>
  <c r="P186" i="1"/>
  <c r="O192" i="1"/>
  <c r="Q192" i="1"/>
  <c r="O193" i="1"/>
  <c r="Q193" i="1"/>
  <c r="K194" i="1"/>
  <c r="P188" i="1"/>
  <c r="P182" i="1"/>
  <c r="P189" i="1"/>
  <c r="P183" i="1"/>
  <c r="P185" i="1"/>
  <c r="P193" i="1"/>
  <c r="O194" i="1"/>
  <c r="P192" i="1"/>
  <c r="V3" i="1"/>
  <c r="V29" i="1"/>
  <c r="V28" i="1"/>
  <c r="N95" i="1"/>
  <c r="L95" i="1"/>
  <c r="K95" i="1"/>
  <c r="T94" i="1"/>
  <c r="S94" i="1"/>
  <c r="R94" i="1"/>
  <c r="N94" i="1"/>
  <c r="L94" i="1"/>
  <c r="K94" i="1"/>
  <c r="Q93" i="1"/>
  <c r="Q92" i="1"/>
  <c r="Q91" i="1"/>
  <c r="Q89" i="1"/>
  <c r="Q88" i="1"/>
  <c r="Q85" i="1"/>
  <c r="Q84" i="1"/>
  <c r="Q81" i="1"/>
  <c r="Q71" i="1"/>
  <c r="Q70" i="1"/>
  <c r="P92" i="1"/>
  <c r="P93" i="1"/>
  <c r="P81" i="1"/>
  <c r="P84" i="1"/>
  <c r="P85" i="1"/>
  <c r="P88" i="1"/>
  <c r="P89" i="1"/>
  <c r="P62" i="1"/>
  <c r="Q156" i="1"/>
  <c r="P156" i="1"/>
  <c r="O156" i="1"/>
  <c r="N156" i="1"/>
  <c r="L156" i="1"/>
  <c r="K156" i="1"/>
  <c r="J156" i="1"/>
  <c r="A156" i="1"/>
  <c r="O155" i="1"/>
  <c r="N155" i="1"/>
  <c r="M155" i="1"/>
  <c r="K155" i="1"/>
  <c r="J155" i="1"/>
  <c r="A155" i="1"/>
  <c r="O154" i="1"/>
  <c r="N154" i="1"/>
  <c r="M154" i="1"/>
  <c r="K154" i="1"/>
  <c r="J154" i="1"/>
  <c r="A154" i="1"/>
  <c r="M153" i="1"/>
  <c r="K153" i="1"/>
  <c r="J153" i="1"/>
  <c r="A153" i="1"/>
  <c r="Q140" i="1"/>
  <c r="P140" i="1"/>
  <c r="O140" i="1"/>
  <c r="N140" i="1"/>
  <c r="L140" i="1"/>
  <c r="K140" i="1"/>
  <c r="J140" i="1"/>
  <c r="A140" i="1"/>
  <c r="Q139" i="1"/>
  <c r="O139" i="1"/>
  <c r="N139" i="1"/>
  <c r="M139" i="1"/>
  <c r="K139" i="1"/>
  <c r="J139" i="1"/>
  <c r="A139" i="1"/>
  <c r="Q138" i="1"/>
  <c r="K138" i="1"/>
  <c r="J138" i="1"/>
  <c r="A138" i="1"/>
  <c r="Q137" i="1"/>
  <c r="P137" i="1"/>
  <c r="O137" i="1"/>
  <c r="N137" i="1"/>
  <c r="M137" i="1"/>
  <c r="K137" i="1"/>
  <c r="J137" i="1"/>
  <c r="A137" i="1"/>
  <c r="O133" i="1"/>
  <c r="N133" i="1"/>
  <c r="M133" i="1"/>
  <c r="K133" i="1"/>
  <c r="J133" i="1"/>
  <c r="A133" i="1"/>
  <c r="O132" i="1"/>
  <c r="N132" i="1"/>
  <c r="M132" i="1"/>
  <c r="K132" i="1"/>
  <c r="J132" i="1"/>
  <c r="A132" i="1"/>
  <c r="O131" i="1"/>
  <c r="N131" i="1"/>
  <c r="M131" i="1"/>
  <c r="K131" i="1"/>
  <c r="J131" i="1"/>
  <c r="A131" i="1"/>
  <c r="M130" i="1"/>
  <c r="K130" i="1"/>
  <c r="J130" i="1"/>
  <c r="A130" i="1"/>
  <c r="Q119" i="1"/>
  <c r="P119" i="1"/>
  <c r="O119" i="1"/>
  <c r="N119" i="1"/>
  <c r="L119" i="1"/>
  <c r="K119" i="1"/>
  <c r="J119" i="1"/>
  <c r="A119" i="1"/>
  <c r="N118" i="1"/>
  <c r="L118" i="1"/>
  <c r="K118" i="1"/>
  <c r="J118" i="1"/>
  <c r="A118" i="1"/>
  <c r="M157" i="1"/>
  <c r="M141" i="1"/>
  <c r="M135" i="1"/>
  <c r="M162" i="1"/>
  <c r="M163" i="1"/>
  <c r="M143" i="1"/>
  <c r="M142" i="1"/>
  <c r="Q115" i="1"/>
  <c r="P115" i="1"/>
  <c r="O115" i="1"/>
  <c r="N115" i="1"/>
  <c r="L115" i="1"/>
  <c r="K115" i="1"/>
  <c r="J115" i="1"/>
  <c r="A115" i="1"/>
  <c r="O114" i="1"/>
  <c r="N114" i="1"/>
  <c r="M114" i="1"/>
  <c r="K114" i="1"/>
  <c r="J114" i="1"/>
  <c r="A114" i="1"/>
  <c r="O113" i="1"/>
  <c r="N113" i="1"/>
  <c r="M113" i="1"/>
  <c r="K113" i="1"/>
  <c r="J113" i="1"/>
  <c r="A113" i="1"/>
  <c r="O112" i="1"/>
  <c r="N112" i="1"/>
  <c r="M112" i="1"/>
  <c r="K112" i="1"/>
  <c r="J112" i="1"/>
  <c r="A112" i="1"/>
  <c r="A111" i="1"/>
  <c r="A110" i="1"/>
  <c r="O111" i="1"/>
  <c r="N111" i="1"/>
  <c r="M111" i="1"/>
  <c r="K111" i="1"/>
  <c r="J111" i="1"/>
  <c r="M110" i="1"/>
  <c r="K110" i="1"/>
  <c r="J110" i="1"/>
  <c r="M109" i="1"/>
  <c r="K109" i="1"/>
  <c r="J109" i="1"/>
  <c r="A109" i="1"/>
  <c r="M116" i="1"/>
  <c r="M122" i="1"/>
  <c r="Q42" i="1"/>
  <c r="Q41" i="1"/>
  <c r="Q153" i="1"/>
  <c r="N161" i="1"/>
  <c r="L161" i="1"/>
  <c r="K161" i="1"/>
  <c r="J161" i="1"/>
  <c r="L157" i="1"/>
  <c r="K157" i="1"/>
  <c r="J157" i="1"/>
  <c r="L141" i="1"/>
  <c r="K141" i="1"/>
  <c r="J141" i="1"/>
  <c r="L135" i="1"/>
  <c r="K135" i="1"/>
  <c r="J135" i="1"/>
  <c r="N120" i="1"/>
  <c r="L120" i="1"/>
  <c r="K120" i="1"/>
  <c r="J120" i="1"/>
  <c r="Q83" i="1"/>
  <c r="P91" i="1"/>
  <c r="Q87" i="1"/>
  <c r="Q79" i="1"/>
  <c r="Q78" i="1"/>
  <c r="P78" i="1"/>
  <c r="T72" i="1"/>
  <c r="S72" i="1"/>
  <c r="R72" i="1"/>
  <c r="N72" i="1"/>
  <c r="L72" i="1"/>
  <c r="K72" i="1"/>
  <c r="J72" i="1"/>
  <c r="T64" i="1"/>
  <c r="S64" i="1"/>
  <c r="R64" i="1"/>
  <c r="N64" i="1"/>
  <c r="L64" i="1"/>
  <c r="K64" i="1"/>
  <c r="J64" i="1"/>
  <c r="Q63" i="1"/>
  <c r="Q133" i="1"/>
  <c r="Q61" i="1"/>
  <c r="Q132" i="1"/>
  <c r="Q51" i="1"/>
  <c r="Q131" i="1"/>
  <c r="Q59" i="1"/>
  <c r="T54" i="1"/>
  <c r="S54" i="1"/>
  <c r="R54" i="1"/>
  <c r="N54" i="1"/>
  <c r="L54" i="1"/>
  <c r="K54" i="1"/>
  <c r="J54" i="1"/>
  <c r="Q53" i="1"/>
  <c r="Q130" i="1"/>
  <c r="Q52" i="1"/>
  <c r="Q155" i="1"/>
  <c r="Q154" i="1"/>
  <c r="Q49" i="1"/>
  <c r="N130" i="1"/>
  <c r="N135" i="1"/>
  <c r="K44" i="1"/>
  <c r="Q43" i="1"/>
  <c r="Q112" i="1"/>
  <c r="Q111" i="1"/>
  <c r="Q40" i="1"/>
  <c r="Q110" i="1"/>
  <c r="T44" i="1"/>
  <c r="S44" i="1"/>
  <c r="R44" i="1"/>
  <c r="Q39" i="1"/>
  <c r="Q109" i="1"/>
  <c r="N44" i="1"/>
  <c r="L44" i="1"/>
  <c r="J44" i="1"/>
  <c r="M121" i="1"/>
  <c r="Q113" i="1"/>
  <c r="Q114" i="1"/>
  <c r="V72" i="1"/>
  <c r="V54" i="1"/>
  <c r="S172" i="1"/>
  <c r="V44" i="1"/>
  <c r="O64" i="1"/>
  <c r="N153" i="1"/>
  <c r="N157" i="1"/>
  <c r="N163" i="1"/>
  <c r="T172" i="1"/>
  <c r="T174" i="1"/>
  <c r="V64" i="1"/>
  <c r="P79" i="1"/>
  <c r="O94" i="1"/>
  <c r="O95" i="1"/>
  <c r="J173" i="1"/>
  <c r="Q94" i="1"/>
  <c r="Q95" i="1"/>
  <c r="J162" i="1"/>
  <c r="Q64" i="1"/>
  <c r="P51" i="1"/>
  <c r="P42" i="1"/>
  <c r="P154" i="1"/>
  <c r="P52" i="1"/>
  <c r="P155" i="1"/>
  <c r="P53" i="1"/>
  <c r="P130" i="1"/>
  <c r="P61" i="1"/>
  <c r="P132" i="1"/>
  <c r="P63" i="1"/>
  <c r="P133" i="1"/>
  <c r="P83" i="1"/>
  <c r="N162" i="1"/>
  <c r="K162" i="1"/>
  <c r="L142" i="1"/>
  <c r="K163" i="1"/>
  <c r="N138" i="1"/>
  <c r="O161" i="1"/>
  <c r="O118" i="1"/>
  <c r="O120" i="1"/>
  <c r="N109" i="1"/>
  <c r="Q54" i="1"/>
  <c r="P70" i="1"/>
  <c r="P138" i="1"/>
  <c r="P87" i="1"/>
  <c r="Q161" i="1"/>
  <c r="Q118" i="1"/>
  <c r="Q120" i="1"/>
  <c r="N110" i="1"/>
  <c r="P41" i="1"/>
  <c r="P153" i="1"/>
  <c r="O44" i="1"/>
  <c r="P39" i="1"/>
  <c r="P109" i="1"/>
  <c r="J142" i="1"/>
  <c r="L143" i="1"/>
  <c r="K116" i="1"/>
  <c r="K121" i="1"/>
  <c r="L116" i="1"/>
  <c r="L121" i="1"/>
  <c r="P59" i="1"/>
  <c r="J116" i="1"/>
  <c r="J121" i="1"/>
  <c r="P111" i="1"/>
  <c r="O72" i="1"/>
  <c r="Q44" i="1"/>
  <c r="P43" i="1"/>
  <c r="P112" i="1"/>
  <c r="P49" i="1"/>
  <c r="P40" i="1"/>
  <c r="P110" i="1"/>
  <c r="O54" i="1"/>
  <c r="P131" i="1"/>
  <c r="P71" i="1"/>
  <c r="P139" i="1"/>
  <c r="K96" i="1"/>
  <c r="Q72" i="1"/>
  <c r="K143" i="1"/>
  <c r="K142" i="1"/>
  <c r="L162" i="1"/>
  <c r="L163" i="1"/>
  <c r="S174" i="1"/>
  <c r="U173" i="1"/>
  <c r="U172" i="1"/>
  <c r="N116" i="1"/>
  <c r="N121" i="1"/>
  <c r="N141" i="1"/>
  <c r="Q141" i="1"/>
  <c r="Q157" i="1"/>
  <c r="Q162" i="1"/>
  <c r="O130" i="1"/>
  <c r="O135" i="1"/>
  <c r="P113" i="1"/>
  <c r="O153" i="1"/>
  <c r="O157" i="1"/>
  <c r="O162" i="1"/>
  <c r="P114" i="1"/>
  <c r="Q135" i="1"/>
  <c r="J172" i="1"/>
  <c r="H173" i="1"/>
  <c r="P94" i="1"/>
  <c r="P95" i="1"/>
  <c r="K164" i="1"/>
  <c r="Q116" i="1"/>
  <c r="Q122" i="1"/>
  <c r="K122" i="1"/>
  <c r="O110" i="1"/>
  <c r="P161" i="1"/>
  <c r="P157" i="1"/>
  <c r="O138" i="1"/>
  <c r="P141" i="1"/>
  <c r="P135" i="1"/>
  <c r="P118" i="1"/>
  <c r="P120" i="1"/>
  <c r="O109" i="1"/>
  <c r="L122" i="1"/>
  <c r="P54" i="1"/>
  <c r="P44" i="1"/>
  <c r="P72" i="1"/>
  <c r="P64" i="1"/>
  <c r="U174" i="1"/>
  <c r="N122" i="1"/>
  <c r="O116" i="1"/>
  <c r="O121" i="1"/>
  <c r="Q143" i="1"/>
  <c r="Q142" i="1"/>
  <c r="Q163" i="1"/>
  <c r="N142" i="1"/>
  <c r="N143" i="1"/>
  <c r="K144" i="1"/>
  <c r="O141" i="1"/>
  <c r="O142" i="1"/>
  <c r="O96" i="1"/>
  <c r="L173" i="1"/>
  <c r="L172" i="1"/>
  <c r="L174" i="1"/>
  <c r="O163" i="1"/>
  <c r="Q121" i="1"/>
  <c r="H172" i="1"/>
  <c r="J174" i="1"/>
  <c r="K123" i="1"/>
  <c r="P116" i="1"/>
  <c r="P122" i="1"/>
  <c r="P143" i="1"/>
  <c r="P163" i="1"/>
  <c r="P142" i="1"/>
  <c r="P162" i="1"/>
  <c r="O122" i="1"/>
  <c r="O123" i="1"/>
  <c r="O143" i="1"/>
  <c r="O144" i="1"/>
  <c r="O173" i="1"/>
  <c r="V173" i="1"/>
  <c r="O164" i="1"/>
  <c r="O172" i="1"/>
  <c r="H174" i="1"/>
  <c r="Q173" i="1"/>
  <c r="P121" i="1"/>
  <c r="O174" i="1"/>
  <c r="Q172" i="1"/>
  <c r="Q174" i="1"/>
</calcChain>
</file>

<file path=xl/sharedStrings.xml><?xml version="1.0" encoding="utf-8"?>
<sst xmlns="http://schemas.openxmlformats.org/spreadsheetml/2006/main" count="455" uniqueCount="181">
  <si>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</si>
  <si>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</si>
  <si>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</si>
  <si>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</si>
  <si>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</si>
  <si>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</si>
  <si>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</si>
  <si>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</si>
  <si>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</si>
  <si>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</si>
  <si>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</si>
  <si>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</si>
  <si>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</si>
  <si>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</si>
  <si>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</si>
  <si>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</si>
  <si>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</si>
  <si>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</si>
  <si>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</si>
  <si>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</si>
  <si>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</si>
  <si>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</si>
  <si>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</si>
  <si>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</si>
  <si>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</si>
  <si>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</si>
  <si>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</si>
  <si>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</si>
  <si>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</si>
  <si>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</si>
  <si>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</si>
  <si>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</si>
  <si>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</si>
  <si>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</si>
  <si>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</si>
  <si>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</si>
  <si>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</si>
  <si>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</si>
  <si>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</si>
  <si>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</si>
  <si>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</si>
  <si>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</si>
  <si>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</si>
  <si>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</si>
  <si>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</si>
  <si>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</si>
  <si>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</si>
  <si>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CURS OPȚIONAL 1 (An I, Semestrul 1)</t>
  </si>
  <si>
    <t>CURS OPȚIONAL 2 (An I, Semestrul 2)</t>
  </si>
  <si>
    <t>CURS OPȚIONAL 3 (An II, Semestrul 3)</t>
  </si>
  <si>
    <t>CURS OPȚIONAL 4 (An II, Semestrul 4)</t>
  </si>
  <si>
    <t>%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</si>
  <si>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</si>
  <si>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</si>
  <si>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</si>
  <si>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</si>
  <si>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</si>
  <si>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</si>
  <si>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</si>
  <si>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</si>
  <si>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</si>
  <si>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</si>
  <si>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</si>
  <si>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</si>
  <si>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</si>
  <si>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</si>
  <si>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</si>
  <si>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</si>
  <si>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</si>
  <si>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</si>
  <si>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</si>
  <si>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</si>
  <si>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</si>
  <si>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DISCIPLINE DE SPECIALITATE (DS)</t>
  </si>
  <si>
    <t>DISCIPLINE COMPLEMENTARE (DC)</t>
  </si>
  <si>
    <t>XND 1101</t>
  </si>
  <si>
    <t>XND 1102</t>
  </si>
  <si>
    <t>XND 1203</t>
  </si>
  <si>
    <t>XND 1204</t>
  </si>
  <si>
    <t>Examen de absolvire: Nivelul II</t>
  </si>
  <si>
    <t xml:space="preserve">TOTAL CREDITE / ORE PE SĂPTĂMÂNĂ / EVALUĂRI </t>
  </si>
  <si>
    <t xml:space="preserve">PROGRAM DE STUDII PSIHOPEDAGOGICE </t>
  </si>
  <si>
    <t>An I, Semestrul 1</t>
  </si>
  <si>
    <t>An I, Semestrul 2</t>
  </si>
  <si>
    <t>An II, Semestrul 3</t>
  </si>
  <si>
    <t>An II, Semestrul 4</t>
  </si>
  <si>
    <t>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</t>
  </si>
  <si>
    <t>MODUL PEDAGOCIC - Nivelul II: 30 de credite ECTS  + 5 credite ECTS aferente examenului de absolvire</t>
  </si>
  <si>
    <t>Psihopedagogia adolescenţilor, tinerilor şi adulţilor</t>
  </si>
  <si>
    <t>Proiectarea şi managementul programelor educaţionale</t>
  </si>
  <si>
    <t>DP</t>
  </si>
  <si>
    <t>DO</t>
  </si>
  <si>
    <t xml:space="preserve">Practică pedagogică (în învăţământul liceal, postliceal şi universitar)
</t>
  </si>
  <si>
    <t>XND 2305</t>
  </si>
  <si>
    <t>XND 2306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</si>
  <si>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</si>
  <si>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</si>
  <si>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</si>
  <si>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Verificați standardele specifice domeniului dumneavoastră pentru a evita incongruențele.</t>
  </si>
  <si>
    <t>ÎN TOATE TABELELE DIN ACEASTĂ MACHETĂ, TREBUIE SĂ INTRODUCEȚI  DATE NUMAI ÎN CELULELE MARCATE CU GALBEN</t>
  </si>
  <si>
    <t>Tabelele/rândurile necompletate se șterg sau se ascund (dacă afectează formulele) HIDE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</si>
  <si>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iunie-iulie (1 săptămână)
Proba: Prezentarea şi susţinerea lucrării de disertație - 10 credite
</t>
    </r>
  </si>
  <si>
    <t>exceptie pagina de garda!</t>
  </si>
  <si>
    <t>Didactica domeniului şi dezvoltăriI în didactica specialităţii (învăţământ liceal, postliceal, universitar)</t>
  </si>
  <si>
    <t>Disciplină opțională 1</t>
  </si>
  <si>
    <t>Disciplină opțională 2</t>
  </si>
  <si>
    <t>FACULTATEA DE MATEMATICĂ ȘI INFORMATICĂ</t>
  </si>
  <si>
    <t>Domeniul: Informatică</t>
  </si>
  <si>
    <t>Metodologia cercetării ştiinţifice de informatică</t>
  </si>
  <si>
    <t>MME8042</t>
  </si>
  <si>
    <t>Instruire automată</t>
  </si>
  <si>
    <t>Curs opțional 1</t>
  </si>
  <si>
    <t>MME3052</t>
  </si>
  <si>
    <t>Descoperirea cunoştinţelor în reţele de mare întindere</t>
  </si>
  <si>
    <t>Curs opțional 3</t>
  </si>
  <si>
    <t>Curs opțional 2</t>
  </si>
  <si>
    <t>MME8110</t>
  </si>
  <si>
    <t>Algoritmi, modele si concepte in sisteme distribuite</t>
  </si>
  <si>
    <t>MME8059</t>
  </si>
  <si>
    <t>Vizualizarea ştiinţifică a datelor</t>
  </si>
  <si>
    <t>MME8028</t>
  </si>
  <si>
    <t>Paradigme de programare</t>
  </si>
  <si>
    <t>L</t>
  </si>
  <si>
    <t>P</t>
  </si>
  <si>
    <t>Practică în specialitate</t>
  </si>
  <si>
    <r>
      <t xml:space="preserve">(*) </t>
    </r>
    <r>
      <rPr>
        <sz val="10"/>
        <color indexed="8"/>
        <rFont val="Times New Roman"/>
        <family val="1"/>
      </rPr>
      <t>Disciplina "Practică în specialitate" este planificată a se desfășura în semestrul 4 și are 20 credite.</t>
    </r>
  </si>
  <si>
    <t>(*)</t>
  </si>
  <si>
    <t>Elaborarea lucrării de disertaţie</t>
  </si>
  <si>
    <t>În contul a cel mult o disciplină opţionale generale, studentul are dreptul să aleagă o disciplină de la alte specializări ale facultăţilor din Universitatea „Babeş-Bolyai”.</t>
  </si>
  <si>
    <t>Sem. 1: Se alege  o disciplină din pachetul: MMX9801</t>
  </si>
  <si>
    <t>Sem. 2: Se alege  o disciplină din pachetul: MMX9802</t>
  </si>
  <si>
    <t>Sem. 3: Se alege  o disciplină din pachetul: MMX9803</t>
  </si>
  <si>
    <t>Specializarea/Programul de studiu: Sisteme informatice avansate: Modelare, proiectare, dezvoltare</t>
  </si>
  <si>
    <t>Proiectarea sistemelor software</t>
  </si>
  <si>
    <t>Instrumente de modelare</t>
  </si>
  <si>
    <t>Proiect de modelare și dezvoltare</t>
  </si>
  <si>
    <t>Proiect de cercetare în Sisteme informatice avansate</t>
  </si>
  <si>
    <t>Aspecte computaționale ale sistemelor scalabile</t>
  </si>
  <si>
    <t>Metodologii agile de dezvoltare a aplicațiilor software</t>
  </si>
  <si>
    <t>MME8025</t>
  </si>
  <si>
    <t>Ingineria cerințelor</t>
  </si>
  <si>
    <t>Antreprenoriat în IT</t>
  </si>
  <si>
    <t>MME8408</t>
  </si>
  <si>
    <t>Metode avansate de analiză a datelor</t>
  </si>
  <si>
    <t>Comunicare în limba germană în industria IT 1</t>
  </si>
  <si>
    <t>Comunicare în limba germană în industria IT 2</t>
  </si>
  <si>
    <t>Comunicare în limba germană în industria IT 3</t>
  </si>
  <si>
    <t>Securitatea sistemelor software</t>
  </si>
  <si>
    <t>Cicluri de viață ale sistemelor software</t>
  </si>
  <si>
    <t>MMX9701</t>
  </si>
  <si>
    <t>MMG8154</t>
  </si>
  <si>
    <t>MMG8153</t>
  </si>
  <si>
    <t>MMG9016</t>
  </si>
  <si>
    <t>MMG8155</t>
  </si>
  <si>
    <t>MMG9107</t>
  </si>
  <si>
    <t>MMX9702</t>
  </si>
  <si>
    <t>MMG8156</t>
  </si>
  <si>
    <t>MMG8157</t>
  </si>
  <si>
    <t>MMG9105</t>
  </si>
  <si>
    <t>MMG9108</t>
  </si>
  <si>
    <t>MMX9703</t>
  </si>
  <si>
    <t>MMG9012</t>
  </si>
  <si>
    <t>MMG9104</t>
  </si>
  <si>
    <t>MMG8999</t>
  </si>
  <si>
    <t>Managementul fluxurilor de operatii</t>
  </si>
  <si>
    <r>
      <rPr>
        <b/>
        <sz val="10"/>
        <color indexed="8"/>
        <rFont val="Times New Roman"/>
        <family val="1"/>
      </rPr>
      <t xml:space="preserve">    99 </t>
    </r>
    <r>
      <rPr>
        <sz val="10"/>
        <color indexed="8"/>
        <rFont val="Times New Roman"/>
        <family val="1"/>
      </rPr>
      <t>de credite la disciplinele obligatorii;</t>
    </r>
  </si>
  <si>
    <t>Limba de predare:Germana si Engleza</t>
  </si>
  <si>
    <r>
      <rPr>
        <b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21 </t>
    </r>
    <r>
      <rPr>
        <sz val="10"/>
        <rFont val="Times New Roman"/>
        <family val="1"/>
      </rPr>
      <t>de credite la disciplinele opţionale</t>
    </r>
  </si>
  <si>
    <r>
      <rPr>
        <b/>
        <sz val="10"/>
        <color indexed="8"/>
        <rFont val="Times New Roman"/>
        <family val="1"/>
      </rPr>
      <t>VI.  UNIVERSITĂŢI DE REFERINŢĂ:</t>
    </r>
    <r>
      <rPr>
        <sz val="10"/>
        <color indexed="8"/>
        <rFont val="Times New Roman"/>
        <family val="1"/>
      </rPr>
      <t xml:space="preserve">
Univ. Duisburg, Univ. Muenster, Carnegie Mellon, University of Califormia
Planul reflectă recomandările Association of Computing Machinery şi IEEE Computer Society</t>
    </r>
  </si>
  <si>
    <t>MMG9001</t>
  </si>
  <si>
    <t>MMG8143</t>
  </si>
  <si>
    <t>MMG8065</t>
  </si>
  <si>
    <t>MMG3042</t>
  </si>
  <si>
    <t>Nota: disciplinele in limba germana au codul MMG, iar cele in</t>
  </si>
  <si>
    <t>limba engleza au codul MME</t>
  </si>
  <si>
    <t>Web design adaptativ</t>
  </si>
  <si>
    <t>MME8120</t>
  </si>
  <si>
    <t>Introducere in SAP/ABAP</t>
  </si>
  <si>
    <t>PLAN DE ÎNVĂŢĂMÂNT  valabil începând din anul universitar 2018-2020</t>
  </si>
  <si>
    <t>Titlul absolventului: MASTER</t>
  </si>
  <si>
    <t>MMG8148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</si>
</sst>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charset val="238"/>
      <scheme val="minor"/>
    </font>
    <font>
      <sz val="10"/>
      <color rgb="FFFF0000"/>
      <name val="Times New Roman"/>
      <family val="1"/>
    </font>
    <font>
      <sz val="10"/>
      <name val="Times New Roman"/>
      <family val="1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0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53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1" fontId="2" fillId="0" borderId="1" xfId="0" applyNumberFormat="1" applyFont="1" applyBorder="1" applyAlignment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1" fontId="2" fillId="5" borderId="1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locked="0"/>
    </xf>
    <xf numFmtId="1" fontId="11" fillId="5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15" fillId="3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0" fontId="2" fillId="3" borderId="3" xfId="0" applyNumberFormat="1" applyFont="1" applyFill="1" applyBorder="1" applyAlignment="1" applyProtection="1">
      <alignment horizontal="center" vertical="center"/>
      <protection locked="0"/>
    </xf>
    <xf numFmtId="9" fontId="9" fillId="0" borderId="1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 applyProtection="1">
      <alignment horizontal="center" vertical="center"/>
      <protection locked="0"/>
    </xf>
    <xf numFmtId="0" fontId="18" fillId="8" borderId="1" xfId="0" applyFont="1" applyFill="1" applyBorder="1" applyAlignment="1" applyProtection="1">
      <alignment horizontal="left" vertical="center"/>
      <protection locked="0"/>
    </xf>
    <xf numFmtId="0" fontId="18" fillId="8" borderId="6" xfId="0" applyFont="1" applyFill="1" applyBorder="1" applyAlignment="1" applyProtection="1">
      <alignment horizontal="center" vertical="center"/>
      <protection locked="0"/>
    </xf>
    <xf numFmtId="0" fontId="18" fillId="0" borderId="6" xfId="0" applyFont="1" applyBorder="1" applyAlignment="1">
      <alignment horizontal="center" vertical="center"/>
    </xf>
    <xf numFmtId="1" fontId="18" fillId="0" borderId="6" xfId="0" applyNumberFormat="1" applyFont="1" applyBorder="1" applyAlignment="1">
      <alignment horizontal="center" vertical="center"/>
    </xf>
    <xf numFmtId="2" fontId="18" fillId="8" borderId="6" xfId="0" applyNumberFormat="1" applyFont="1" applyFill="1" applyBorder="1" applyAlignment="1" applyProtection="1">
      <alignment horizontal="center" vertical="center"/>
      <protection locked="0"/>
    </xf>
    <xf numFmtId="0" fontId="18" fillId="8" borderId="1" xfId="0" applyFont="1" applyFill="1" applyBorder="1" applyAlignment="1" applyProtection="1">
      <alignment horizontal="center" vertical="center"/>
      <protection locked="0"/>
    </xf>
    <xf numFmtId="0" fontId="18" fillId="8" borderId="1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8" fillId="8" borderId="2" xfId="0" applyFont="1" applyFill="1" applyBorder="1" applyAlignment="1" applyProtection="1">
      <alignment horizontal="left" vertical="center"/>
      <protection locked="0"/>
    </xf>
    <xf numFmtId="0" fontId="18" fillId="8" borderId="5" xfId="0" applyFont="1" applyFill="1" applyBorder="1" applyAlignment="1" applyProtection="1">
      <alignment horizontal="left" vertical="center"/>
      <protection locked="0"/>
    </xf>
    <xf numFmtId="0" fontId="18" fillId="8" borderId="6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4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4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4" borderId="14" xfId="0" applyFont="1" applyFill="1" applyBorder="1" applyAlignment="1">
      <alignment wrapText="1"/>
    </xf>
    <xf numFmtId="0" fontId="1" fillId="4" borderId="0" xfId="0" applyFont="1" applyFill="1" applyAlignment="1">
      <alignment wrapText="1"/>
    </xf>
    <xf numFmtId="0" fontId="12" fillId="6" borderId="0" xfId="0" applyFont="1" applyFill="1" applyAlignment="1" applyProtection="1">
      <alignment vertical="center" wrapText="1"/>
      <protection locked="0"/>
    </xf>
    <xf numFmtId="0" fontId="13" fillId="6" borderId="0" xfId="0" applyFont="1" applyFill="1" applyAlignment="1">
      <alignment vertical="center" wrapText="1"/>
    </xf>
    <xf numFmtId="0" fontId="13" fillId="0" borderId="0" xfId="0" applyFont="1"/>
    <xf numFmtId="0" fontId="2" fillId="7" borderId="0" xfId="0" applyFont="1" applyFill="1" applyAlignment="1" applyProtection="1">
      <alignment horizontal="left" vertical="top" wrapText="1"/>
      <protection locked="0"/>
    </xf>
    <xf numFmtId="0" fontId="12" fillId="7" borderId="0" xfId="0" applyFont="1" applyFill="1" applyAlignment="1" applyProtection="1">
      <alignment wrapText="1"/>
      <protection locked="0"/>
    </xf>
    <xf numFmtId="0" fontId="0" fillId="7" borderId="0" xfId="0" applyFill="1" applyAlignment="1">
      <alignment wrapText="1"/>
    </xf>
    <xf numFmtId="0" fontId="0" fillId="0" borderId="0" xfId="0" applyAlignment="1">
      <alignment wrapText="1"/>
    </xf>
    <xf numFmtId="0" fontId="14" fillId="0" borderId="0" xfId="0" applyFont="1" applyProtection="1">
      <protection locked="0"/>
    </xf>
    <xf numFmtId="0" fontId="0" fillId="0" borderId="0" xfId="0"/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2" fontId="1" fillId="0" borderId="9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" fontId="15" fillId="3" borderId="2" xfId="0" applyNumberFormat="1" applyFont="1" applyFill="1" applyBorder="1" applyAlignment="1" applyProtection="1">
      <alignment horizontal="left" vertical="center"/>
      <protection locked="0"/>
    </xf>
    <xf numFmtId="1" fontId="15" fillId="3" borderId="5" xfId="0" applyNumberFormat="1" applyFont="1" applyFill="1" applyBorder="1" applyAlignment="1" applyProtection="1">
      <alignment horizontal="left" vertical="center"/>
      <protection locked="0"/>
    </xf>
    <xf numFmtId="1" fontId="15" fillId="3" borderId="6" xfId="0" applyNumberFormat="1" applyFont="1" applyFill="1" applyBorder="1" applyAlignment="1" applyProtection="1">
      <alignment horizontal="left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7" xfId="0" applyFont="1" applyBorder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9" fontId="8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9" fontId="9" fillId="0" borderId="2" xfId="0" applyNumberFormat="1" applyFont="1" applyBorder="1" applyAlignment="1">
      <alignment horizontal="center"/>
    </xf>
    <xf numFmtId="9" fontId="9" fillId="0" borderId="6" xfId="0" applyNumberFormat="1" applyFont="1" applyBorder="1" applyAlignment="1">
      <alignment horizontal="center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1" fontId="1" fillId="0" borderId="2" xfId="0" applyNumberFormat="1" applyFont="1" applyBorder="1" applyAlignment="1">
      <alignment horizontal="center"/>
    </xf>
    <xf numFmtId="0" fontId="18" fillId="8" borderId="15" xfId="0" applyFont="1" applyFill="1" applyBorder="1" applyAlignment="1" applyProtection="1">
      <alignment horizontal="left" vertical="center"/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1" fontId="1" fillId="5" borderId="2" xfId="0" applyNumberFormat="1" applyFont="1" applyFill="1" applyBorder="1" applyAlignment="1" applyProtection="1">
      <alignment horizontal="left" vertical="center" wrapText="1"/>
      <protection locked="0"/>
    </xf>
    <xf numFmtId="1" fontId="1" fillId="5" borderId="5" xfId="0" applyNumberFormat="1" applyFont="1" applyFill="1" applyBorder="1" applyAlignment="1" applyProtection="1">
      <alignment horizontal="left" vertical="center"/>
      <protection locked="0"/>
    </xf>
    <xf numFmtId="1" fontId="1" fillId="5" borderId="6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/>
    <xf numFmtId="0" fontId="10" fillId="0" borderId="0" xfId="0" applyFont="1" applyAlignment="1" applyProtection="1">
      <alignment horizontal="left" vertical="top" wrapText="1"/>
      <protection locked="0"/>
    </xf>
    <xf numFmtId="1" fontId="2" fillId="5" borderId="2" xfId="0" applyNumberFormat="1" applyFont="1" applyFill="1" applyBorder="1" applyAlignment="1" applyProtection="1">
      <alignment horizontal="center" vertical="center"/>
      <protection locked="0"/>
    </xf>
    <xf numFmtId="1" fontId="2" fillId="5" borderId="5" xfId="0" applyNumberFormat="1" applyFont="1" applyFill="1" applyBorder="1" applyAlignment="1" applyProtection="1">
      <alignment horizontal="center" vertical="center"/>
      <protection locked="0"/>
    </xf>
    <xf numFmtId="1" fontId="2" fillId="5" borderId="6" xfId="0" applyNumberFormat="1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2" fontId="1" fillId="5" borderId="9" xfId="0" applyNumberFormat="1" applyFont="1" applyFill="1" applyBorder="1" applyAlignment="1">
      <alignment horizontal="center" vertical="center"/>
    </xf>
    <xf numFmtId="2" fontId="1" fillId="5" borderId="4" xfId="0" applyNumberFormat="1" applyFont="1" applyFill="1" applyBorder="1" applyAlignment="1">
      <alignment horizontal="center" vertical="center"/>
    </xf>
    <xf numFmtId="2" fontId="1" fillId="5" borderId="10" xfId="0" applyNumberFormat="1" applyFont="1" applyFill="1" applyBorder="1" applyAlignment="1">
      <alignment horizontal="center" vertical="center"/>
    </xf>
    <xf numFmtId="2" fontId="1" fillId="5" borderId="11" xfId="0" applyNumberFormat="1" applyFont="1" applyFill="1" applyBorder="1" applyAlignment="1">
      <alignment horizontal="center" vertical="center"/>
    </xf>
    <xf numFmtId="2" fontId="1" fillId="5" borderId="7" xfId="0" applyNumberFormat="1" applyFont="1" applyFill="1" applyBorder="1" applyAlignment="1">
      <alignment horizontal="center" vertical="center"/>
    </xf>
    <xf numFmtId="2" fontId="1" fillId="5" borderId="8" xfId="0" applyNumberFormat="1" applyFont="1" applyFill="1" applyBorder="1" applyAlignment="1">
      <alignment horizontal="center" vertical="center"/>
    </xf>
    <xf numFmtId="1" fontId="2" fillId="5" borderId="2" xfId="0" applyNumberFormat="1" applyFont="1" applyFill="1" applyBorder="1" applyAlignment="1">
      <alignment horizontal="center" vertical="center"/>
    </xf>
    <xf numFmtId="1" fontId="2" fillId="5" borderId="5" xfId="0" applyNumberFormat="1" applyFont="1" applyFill="1" applyBorder="1" applyAlignment="1">
      <alignment horizontal="center" vertical="center"/>
    </xf>
    <xf numFmtId="1" fontId="2" fillId="5" borderId="6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9" borderId="0" xfId="0" applyFont="1" applyFill="1" applyAlignment="1" applyProtection="1">
      <alignment horizontal="left" vertical="center" wrapText="1"/>
      <protection locked="0"/>
    </xf>
    <xf numFmtId="0" fontId="1" fillId="9" borderId="0" xfId="0" applyFont="1" applyFill="1" applyAlignment="1" applyProtection="1">
      <alignment horizontal="left" vertical="center" wrapText="1"/>
      <protection locked="0"/>
    </xf>
    <xf numFmtId="0" fontId="1" fillId="9" borderId="0" xfId="0" applyFont="1" applyFill="1" applyAlignment="1" applyProtection="1">
      <alignment vertical="center" wrapText="1"/>
      <protection locked="0"/>
    </xf>
    <xf numFmtId="0" fontId="1" fillId="9" borderId="0" xfId="0" applyFont="1" applyFill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Protection="1">
      <protection locked="0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24"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99"/>
  <sheetViews>
    <sheetView tabSelected="1" view="pageLayout" topLeftCell="A193" workbookViewId="0">
      <selection activeCell="B80" sqref="B80:I80"/>
    </sheetView>
  </sheetViews>
  <sheetFormatPr defaultColWidth="8.7109375" defaultRowHeight="12.75" x14ac:dyDescent="0.2"/>
  <cols>
    <col min="1" max="1" width="9.28515625" style="1" customWidth="1"/>
    <col min="2" max="2" width="7.140625" style="1" customWidth="1"/>
    <col min="3" max="3" width="7.28515625" style="1" customWidth="1"/>
    <col min="4" max="4" width="4.140625" style="1" customWidth="1"/>
    <col min="5" max="5" width="3.7109375" style="1" customWidth="1"/>
    <col min="6" max="6" width="3.140625" style="1" customWidth="1"/>
    <col min="7" max="7" width="5" style="1" customWidth="1"/>
    <col min="8" max="8" width="7" style="1" customWidth="1"/>
    <col min="9" max="9" width="5.7109375" style="1" customWidth="1"/>
    <col min="10" max="10" width="7.28515625" style="1" customWidth="1"/>
    <col min="11" max="11" width="5.7109375" style="1" customWidth="1"/>
    <col min="12" max="13" width="6.140625" style="1" customWidth="1"/>
    <col min="14" max="14" width="5.42578125" style="1" customWidth="1"/>
    <col min="15" max="19" width="6" style="1" customWidth="1"/>
    <col min="20" max="20" width="6.140625" style="1" customWidth="1"/>
    <col min="21" max="21" width="9.28515625" style="1" customWidth="1"/>
    <col min="22" max="27" width="8.7109375" style="1"/>
    <col min="28" max="28" width="11" style="1" customWidth="1"/>
    <col min="29" max="16384" width="8.7109375" style="1"/>
  </cols>
  <sheetData>
    <row r="1" spans="1:29" ht="15.75" customHeight="1" x14ac:dyDescent="0.2">
      <c r="A1" s="73" t="s">
        <v>178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57"/>
      <c r="N1" s="144" t="s">
        <v>19</v>
      </c>
      <c r="O1" s="144"/>
      <c r="P1" s="144"/>
      <c r="Q1" s="144"/>
      <c r="R1" s="144"/>
      <c r="S1" s="144"/>
      <c r="T1" s="144"/>
      <c r="U1" s="144"/>
    </row>
    <row r="2" spans="1:29" ht="6.7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57"/>
    </row>
    <row r="3" spans="1:29" ht="39" customHeight="1" x14ac:dyDescent="0.2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51"/>
      <c r="N3" s="146"/>
      <c r="O3" s="147"/>
      <c r="P3" s="148" t="s">
        <v>34</v>
      </c>
      <c r="Q3" s="149"/>
      <c r="R3" s="150"/>
      <c r="S3" s="148" t="s">
        <v>35</v>
      </c>
      <c r="T3" s="149"/>
      <c r="U3" s="150"/>
      <c r="V3" s="96" t="str">
        <f>IF(P4&gt;=14,"Corect","Trebuie alocate cel puțin 14 de ore pe săptămână")</f>
        <v>Corect</v>
      </c>
      <c r="W3" s="97"/>
      <c r="X3" s="97"/>
      <c r="Y3" s="97"/>
      <c r="Z3" s="1">
        <f>(57*14)+24*12</f>
        <v>1086</v>
      </c>
    </row>
    <row r="4" spans="1:29" ht="17.25" customHeight="1" x14ac:dyDescent="0.2">
      <c r="A4" s="236" t="s">
        <v>106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12"/>
      <c r="N4" s="138" t="s">
        <v>14</v>
      </c>
      <c r="O4" s="139"/>
      <c r="P4" s="135">
        <v>20</v>
      </c>
      <c r="Q4" s="136"/>
      <c r="R4" s="137"/>
      <c r="S4" s="135">
        <v>20</v>
      </c>
      <c r="T4" s="136"/>
      <c r="U4" s="137"/>
      <c r="V4" s="96" t="str">
        <f>IF(S4&gt;=14,"Corect","Trebuie alocate cel puțin 14 de ore pe săptămână")</f>
        <v>Corect</v>
      </c>
      <c r="W4" s="97"/>
      <c r="X4" s="97"/>
      <c r="Y4" s="97"/>
    </row>
    <row r="5" spans="1:29" ht="16.5" customHeight="1" x14ac:dyDescent="0.2">
      <c r="A5" s="236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12"/>
      <c r="N5" s="138" t="s">
        <v>15</v>
      </c>
      <c r="O5" s="139"/>
      <c r="P5" s="135">
        <v>17</v>
      </c>
      <c r="Q5" s="136"/>
      <c r="R5" s="137"/>
      <c r="S5" s="135">
        <v>24</v>
      </c>
      <c r="T5" s="136"/>
      <c r="U5" s="137"/>
      <c r="V5" s="96" t="str">
        <f>IF(P5&gt;=14,"Corect","Trebuie alocate cel puțin 14 de ore pe săptămână")</f>
        <v>Corect</v>
      </c>
      <c r="W5" s="97"/>
      <c r="X5" s="97"/>
      <c r="Y5" s="97"/>
    </row>
    <row r="6" spans="1:29" ht="15" customHeight="1" x14ac:dyDescent="0.2">
      <c r="A6" s="237" t="s">
        <v>107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59"/>
      <c r="N6" s="140"/>
      <c r="O6" s="140"/>
      <c r="P6" s="141"/>
      <c r="Q6" s="141"/>
      <c r="R6" s="141"/>
      <c r="S6" s="141"/>
      <c r="T6" s="141"/>
      <c r="U6" s="141"/>
      <c r="V6" s="96" t="str">
        <f>IF(S5&gt;=14,"Corect","Trebuie alocate cel puțin 14 de ore pe săptămână")</f>
        <v>Corect</v>
      </c>
      <c r="W6" s="97"/>
      <c r="X6" s="97"/>
      <c r="Y6" s="97"/>
    </row>
    <row r="7" spans="1:29" ht="31.5" customHeight="1" x14ac:dyDescent="0.2">
      <c r="A7" s="238" t="s">
        <v>132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"/>
    </row>
    <row r="8" spans="1:29" ht="18.75" customHeight="1" x14ac:dyDescent="0.2">
      <c r="A8" s="239" t="s">
        <v>166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8"/>
      <c r="N8" s="133" t="s">
        <v>101</v>
      </c>
      <c r="O8" s="133"/>
      <c r="P8" s="133"/>
      <c r="Q8" s="133"/>
      <c r="R8" s="133"/>
      <c r="S8" s="133"/>
      <c r="T8" s="133"/>
      <c r="U8" s="133"/>
    </row>
    <row r="9" spans="1:29" ht="15" customHeight="1" x14ac:dyDescent="0.2">
      <c r="A9" s="134" t="s">
        <v>179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8"/>
      <c r="N9" s="133"/>
      <c r="O9" s="133"/>
      <c r="P9" s="133"/>
      <c r="Q9" s="133"/>
      <c r="R9" s="133"/>
      <c r="S9" s="133"/>
      <c r="T9" s="133"/>
      <c r="U9" s="133"/>
      <c r="V9" s="98" t="s">
        <v>98</v>
      </c>
      <c r="W9" s="99"/>
      <c r="X9" s="99"/>
      <c r="Y9" s="100"/>
      <c r="Z9" s="100"/>
      <c r="AA9" s="100"/>
    </row>
    <row r="10" spans="1:29" ht="16.5" customHeight="1" x14ac:dyDescent="0.2">
      <c r="A10" s="134" t="s">
        <v>66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8"/>
      <c r="N10" s="133"/>
      <c r="O10" s="133"/>
      <c r="P10" s="133"/>
      <c r="Q10" s="133"/>
      <c r="R10" s="133"/>
      <c r="S10" s="133"/>
      <c r="T10" s="133"/>
      <c r="U10" s="133"/>
      <c r="V10" s="99"/>
      <c r="W10" s="99"/>
      <c r="X10" s="99"/>
      <c r="Y10" s="100"/>
      <c r="Z10" s="100"/>
      <c r="AA10" s="100"/>
    </row>
    <row r="11" spans="1:29" x14ac:dyDescent="0.2">
      <c r="A11" s="134" t="s">
        <v>17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8"/>
      <c r="N11" s="133"/>
      <c r="O11" s="133"/>
      <c r="P11" s="133"/>
      <c r="Q11" s="133"/>
      <c r="R11" s="133"/>
      <c r="S11" s="133"/>
      <c r="T11" s="133"/>
      <c r="U11" s="133"/>
      <c r="V11" s="99"/>
      <c r="W11" s="99"/>
      <c r="X11" s="99"/>
      <c r="Y11" s="100"/>
      <c r="Z11" s="100"/>
      <c r="AA11" s="100"/>
    </row>
    <row r="12" spans="1:29" ht="10.5" customHeight="1" x14ac:dyDescent="0.2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8"/>
      <c r="N12" s="2"/>
      <c r="O12" s="2"/>
      <c r="P12" s="2"/>
      <c r="Q12" s="2"/>
      <c r="R12" s="2"/>
      <c r="S12" s="2"/>
      <c r="V12" s="99"/>
      <c r="W12" s="99"/>
      <c r="X12" s="99"/>
      <c r="Y12" s="100"/>
      <c r="Z12" s="100"/>
      <c r="AA12" s="100"/>
    </row>
    <row r="13" spans="1:29" x14ac:dyDescent="0.2">
      <c r="A13" s="142" t="s">
        <v>71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58"/>
      <c r="N13" s="132" t="s">
        <v>20</v>
      </c>
      <c r="O13" s="132"/>
      <c r="P13" s="132"/>
      <c r="Q13" s="132"/>
      <c r="R13" s="132"/>
      <c r="S13" s="132"/>
      <c r="T13" s="132"/>
      <c r="U13" s="132"/>
    </row>
    <row r="14" spans="1:29" ht="12.75" customHeight="1" x14ac:dyDescent="0.2">
      <c r="A14" s="142" t="s">
        <v>67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58"/>
      <c r="N14" s="133" t="s">
        <v>129</v>
      </c>
      <c r="O14" s="133"/>
      <c r="P14" s="133"/>
      <c r="Q14" s="133"/>
      <c r="R14" s="133"/>
      <c r="S14" s="133"/>
      <c r="T14" s="133"/>
      <c r="U14" s="133"/>
    </row>
    <row r="15" spans="1:29" ht="12.75" customHeight="1" x14ac:dyDescent="0.2">
      <c r="A15" s="134" t="s">
        <v>165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8"/>
      <c r="N15" s="133" t="s">
        <v>130</v>
      </c>
      <c r="O15" s="133"/>
      <c r="P15" s="133"/>
      <c r="Q15" s="133"/>
      <c r="R15" s="133"/>
      <c r="S15" s="133"/>
      <c r="T15" s="133"/>
      <c r="U15" s="133"/>
      <c r="V15" s="101" t="s">
        <v>99</v>
      </c>
      <c r="W15" s="101"/>
      <c r="X15" s="101"/>
      <c r="Y15" s="101"/>
      <c r="Z15" s="101"/>
      <c r="AA15" s="101"/>
    </row>
    <row r="16" spans="1:29" ht="12.75" customHeight="1" x14ac:dyDescent="0.25">
      <c r="A16" s="182" t="s">
        <v>167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8"/>
      <c r="N16" s="133" t="s">
        <v>131</v>
      </c>
      <c r="O16" s="133"/>
      <c r="P16" s="133"/>
      <c r="Q16" s="133"/>
      <c r="R16" s="133"/>
      <c r="S16" s="133"/>
      <c r="T16" s="133"/>
      <c r="U16" s="133"/>
      <c r="V16" s="101"/>
      <c r="W16" s="101"/>
      <c r="X16" s="101"/>
      <c r="Y16" s="101"/>
      <c r="Z16" s="101"/>
      <c r="AA16" s="101"/>
      <c r="AB16" s="105" t="s">
        <v>102</v>
      </c>
      <c r="AC16" s="106"/>
    </row>
    <row r="17" spans="1:28" ht="12.75" customHeight="1" x14ac:dyDescent="0.2">
      <c r="A17" s="134" t="s">
        <v>1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8"/>
      <c r="N17" s="131"/>
      <c r="O17" s="131"/>
      <c r="P17" s="131"/>
      <c r="Q17" s="131"/>
      <c r="R17" s="131"/>
      <c r="S17" s="131"/>
      <c r="T17" s="131"/>
      <c r="U17" s="131"/>
      <c r="V17" s="101"/>
      <c r="W17" s="101"/>
      <c r="X17" s="101"/>
      <c r="Y17" s="101"/>
      <c r="Z17" s="101"/>
      <c r="AA17" s="101"/>
    </row>
    <row r="18" spans="1:28" ht="14.25" customHeight="1" x14ac:dyDescent="0.2">
      <c r="A18" s="134" t="s">
        <v>72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8"/>
      <c r="N18" s="131" t="s">
        <v>173</v>
      </c>
      <c r="O18" s="131"/>
      <c r="P18" s="131"/>
      <c r="Q18" s="131"/>
      <c r="R18" s="131"/>
      <c r="S18" s="131"/>
      <c r="T18" s="131"/>
      <c r="U18" s="131"/>
    </row>
    <row r="19" spans="1:28" x14ac:dyDescent="0.2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8"/>
      <c r="N19" s="131" t="s">
        <v>174</v>
      </c>
      <c r="O19" s="131"/>
      <c r="P19" s="131"/>
      <c r="Q19" s="131"/>
      <c r="R19" s="131"/>
      <c r="S19" s="131"/>
      <c r="T19" s="131"/>
      <c r="U19" s="131"/>
    </row>
    <row r="20" spans="1:28" ht="7.5" customHeight="1" x14ac:dyDescent="0.2">
      <c r="A20" s="133" t="s">
        <v>86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2"/>
      <c r="N20" s="2"/>
      <c r="O20" s="2"/>
      <c r="P20" s="2"/>
      <c r="Q20" s="2"/>
      <c r="R20" s="2"/>
      <c r="S20" s="2"/>
      <c r="V20" s="102" t="s">
        <v>100</v>
      </c>
      <c r="W20" s="103"/>
      <c r="X20" s="103"/>
      <c r="Y20" s="103"/>
      <c r="Z20" s="103"/>
      <c r="AA20" s="103"/>
      <c r="AB20" s="104"/>
    </row>
    <row r="21" spans="1:28" ht="15" customHeight="1" x14ac:dyDescent="0.2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2"/>
      <c r="N21" s="131" t="s">
        <v>128</v>
      </c>
      <c r="O21" s="131"/>
      <c r="P21" s="131"/>
      <c r="Q21" s="131"/>
      <c r="R21" s="131"/>
      <c r="S21" s="131"/>
      <c r="T21" s="131"/>
      <c r="U21" s="131"/>
      <c r="V21" s="104"/>
      <c r="W21" s="104"/>
      <c r="X21" s="104"/>
      <c r="Y21" s="104"/>
      <c r="Z21" s="104"/>
      <c r="AA21" s="104"/>
      <c r="AB21" s="104"/>
    </row>
    <row r="22" spans="1:28" ht="15" customHeight="1" x14ac:dyDescent="0.2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2"/>
      <c r="N22" s="131"/>
      <c r="O22" s="131"/>
      <c r="P22" s="131"/>
      <c r="Q22" s="131"/>
      <c r="R22" s="131"/>
      <c r="S22" s="131"/>
      <c r="T22" s="131"/>
      <c r="U22" s="131"/>
      <c r="V22" s="104"/>
      <c r="W22" s="104"/>
      <c r="X22" s="104"/>
      <c r="Y22" s="104"/>
      <c r="Z22" s="104"/>
      <c r="AA22" s="104"/>
      <c r="AB22" s="104"/>
    </row>
    <row r="23" spans="1:28" ht="26.25" customHeight="1" x14ac:dyDescent="0.2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2"/>
      <c r="N23" s="131"/>
      <c r="O23" s="131"/>
      <c r="P23" s="131"/>
      <c r="Q23" s="131"/>
      <c r="R23" s="131"/>
      <c r="S23" s="131"/>
      <c r="T23" s="131"/>
      <c r="U23" s="131"/>
      <c r="V23" s="104"/>
      <c r="W23" s="104"/>
      <c r="X23" s="104"/>
      <c r="Y23" s="104"/>
      <c r="Z23" s="104"/>
      <c r="AA23" s="104"/>
      <c r="AB23" s="104"/>
    </row>
    <row r="24" spans="1:28" ht="6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3"/>
      <c r="O24" s="3"/>
      <c r="P24" s="3"/>
      <c r="Q24" s="3"/>
      <c r="R24" s="3"/>
      <c r="S24" s="3"/>
    </row>
    <row r="25" spans="1:28" x14ac:dyDescent="0.2">
      <c r="A25" s="240" t="s">
        <v>16</v>
      </c>
      <c r="B25" s="240"/>
      <c r="C25" s="240"/>
      <c r="D25" s="240"/>
      <c r="E25" s="240"/>
      <c r="F25" s="240"/>
      <c r="G25" s="240"/>
      <c r="H25" s="241"/>
      <c r="N25" s="151" t="s">
        <v>168</v>
      </c>
      <c r="O25" s="151"/>
      <c r="P25" s="151"/>
      <c r="Q25" s="151"/>
      <c r="R25" s="151"/>
      <c r="S25" s="151"/>
      <c r="T25" s="151"/>
      <c r="U25" s="151"/>
    </row>
    <row r="26" spans="1:28" ht="26.25" customHeight="1" x14ac:dyDescent="0.2">
      <c r="A26" s="4"/>
      <c r="B26" s="148" t="s">
        <v>2</v>
      </c>
      <c r="C26" s="150"/>
      <c r="D26" s="148" t="s">
        <v>3</v>
      </c>
      <c r="E26" s="149"/>
      <c r="F26" s="150"/>
      <c r="G26" s="107" t="s">
        <v>18</v>
      </c>
      <c r="H26" s="107" t="s">
        <v>10</v>
      </c>
      <c r="I26" s="148" t="s">
        <v>4</v>
      </c>
      <c r="J26" s="149"/>
      <c r="K26" s="150"/>
      <c r="L26" s="51"/>
      <c r="N26" s="151"/>
      <c r="O26" s="151"/>
      <c r="P26" s="151"/>
      <c r="Q26" s="151"/>
      <c r="R26" s="151"/>
      <c r="S26" s="151"/>
      <c r="T26" s="151"/>
      <c r="U26" s="151"/>
    </row>
    <row r="27" spans="1:28" ht="14.25" customHeight="1" x14ac:dyDescent="0.2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108"/>
      <c r="H27" s="108"/>
      <c r="I27" s="5" t="s">
        <v>11</v>
      </c>
      <c r="J27" s="5" t="s">
        <v>12</v>
      </c>
      <c r="K27" s="5" t="s">
        <v>13</v>
      </c>
      <c r="L27" s="51"/>
      <c r="N27" s="151"/>
      <c r="O27" s="151"/>
      <c r="P27" s="151"/>
      <c r="Q27" s="151"/>
      <c r="R27" s="151"/>
      <c r="S27" s="151"/>
      <c r="T27" s="151"/>
      <c r="U27" s="151"/>
    </row>
    <row r="28" spans="1:28" ht="17.25" customHeight="1" x14ac:dyDescent="0.2">
      <c r="A28" s="6" t="s">
        <v>14</v>
      </c>
      <c r="B28" s="7">
        <v>14</v>
      </c>
      <c r="C28" s="7">
        <v>14</v>
      </c>
      <c r="D28" s="24">
        <v>3</v>
      </c>
      <c r="E28" s="24">
        <v>3</v>
      </c>
      <c r="F28" s="24">
        <v>2</v>
      </c>
      <c r="G28" s="24"/>
      <c r="H28" s="38"/>
      <c r="I28" s="24">
        <v>3</v>
      </c>
      <c r="J28" s="24">
        <v>1</v>
      </c>
      <c r="K28" s="24">
        <v>12</v>
      </c>
      <c r="L28" s="54"/>
      <c r="N28" s="151"/>
      <c r="O28" s="151"/>
      <c r="P28" s="151"/>
      <c r="Q28" s="151"/>
      <c r="R28" s="151"/>
      <c r="S28" s="151"/>
      <c r="T28" s="151"/>
      <c r="U28" s="151"/>
      <c r="V28" s="95" t="str">
        <f>IF(SUM(B28:K28)=52,"Corect","Suma trebuie să fie 52")</f>
        <v>Corect</v>
      </c>
      <c r="W28" s="95"/>
    </row>
    <row r="29" spans="1:28" ht="15" customHeight="1" x14ac:dyDescent="0.2">
      <c r="A29" s="6" t="s">
        <v>15</v>
      </c>
      <c r="B29" s="7">
        <v>14</v>
      </c>
      <c r="C29" s="7">
        <v>12</v>
      </c>
      <c r="D29" s="24">
        <v>3</v>
      </c>
      <c r="E29" s="24">
        <v>3</v>
      </c>
      <c r="F29" s="24">
        <v>2</v>
      </c>
      <c r="G29" s="24">
        <v>2</v>
      </c>
      <c r="H29" s="24" t="s">
        <v>126</v>
      </c>
      <c r="I29" s="24">
        <v>3</v>
      </c>
      <c r="J29" s="24">
        <v>1</v>
      </c>
      <c r="K29" s="24">
        <v>12</v>
      </c>
      <c r="L29" s="54"/>
      <c r="N29" s="151"/>
      <c r="O29" s="151"/>
      <c r="P29" s="151"/>
      <c r="Q29" s="151"/>
      <c r="R29" s="151"/>
      <c r="S29" s="151"/>
      <c r="T29" s="151"/>
      <c r="U29" s="151"/>
      <c r="V29" s="95" t="str">
        <f>IF(SUM(B29:K29)=52,"Corect","Suma trebuie să fie 52")</f>
        <v>Corect</v>
      </c>
      <c r="W29" s="95"/>
    </row>
    <row r="30" spans="1:28" ht="15.75" customHeight="1" x14ac:dyDescent="0.2">
      <c r="A30" s="34" t="s">
        <v>125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54"/>
      <c r="N30" s="151"/>
      <c r="O30" s="151"/>
      <c r="P30" s="151"/>
      <c r="Q30" s="151"/>
      <c r="R30" s="151"/>
      <c r="S30" s="151"/>
      <c r="T30" s="151"/>
      <c r="U30" s="151"/>
    </row>
    <row r="31" spans="1:28" ht="21" customHeight="1" x14ac:dyDescent="0.2">
      <c r="N31" s="151"/>
      <c r="O31" s="151"/>
      <c r="P31" s="151"/>
      <c r="Q31" s="151"/>
      <c r="R31" s="151"/>
      <c r="S31" s="151"/>
      <c r="T31" s="151"/>
      <c r="U31" s="151"/>
    </row>
    <row r="32" spans="1:28" ht="15" customHeight="1" x14ac:dyDescent="0.2">
      <c r="B32" s="2"/>
      <c r="C32" s="2"/>
      <c r="D32" s="2"/>
      <c r="E32" s="2"/>
      <c r="F32" s="2"/>
      <c r="G32" s="2"/>
      <c r="M32" s="8"/>
      <c r="N32" s="8"/>
      <c r="O32" s="8"/>
      <c r="P32" s="8"/>
      <c r="Q32" s="8"/>
      <c r="R32" s="8"/>
      <c r="S32" s="8"/>
    </row>
    <row r="33" spans="1:24" x14ac:dyDescent="0.2">
      <c r="B33" s="8"/>
      <c r="C33" s="8"/>
      <c r="D33" s="8"/>
      <c r="E33" s="8"/>
      <c r="F33" s="8"/>
      <c r="G33" s="8"/>
      <c r="M33" s="8"/>
      <c r="N33" s="8"/>
      <c r="O33" s="8"/>
      <c r="P33" s="8"/>
      <c r="Q33" s="8"/>
      <c r="R33" s="8"/>
      <c r="S33" s="8"/>
    </row>
    <row r="34" spans="1:24" ht="16.5" customHeight="1" x14ac:dyDescent="0.2">
      <c r="A34" s="145" t="s">
        <v>21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</row>
    <row r="35" spans="1:24" ht="8.25" hidden="1" customHeight="1" x14ac:dyDescent="0.2">
      <c r="O35" s="9"/>
      <c r="P35" s="10" t="s">
        <v>36</v>
      </c>
      <c r="Q35" s="10" t="s">
        <v>37</v>
      </c>
      <c r="R35" s="10" t="s">
        <v>38</v>
      </c>
      <c r="S35" s="10" t="s">
        <v>39</v>
      </c>
      <c r="T35" s="10" t="s">
        <v>55</v>
      </c>
      <c r="U35" s="10"/>
    </row>
    <row r="36" spans="1:24" ht="17.25" customHeight="1" x14ac:dyDescent="0.2">
      <c r="A36" s="74" t="s">
        <v>42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4" ht="25.5" customHeight="1" x14ac:dyDescent="0.2">
      <c r="A37" s="115" t="s">
        <v>27</v>
      </c>
      <c r="B37" s="117" t="s">
        <v>26</v>
      </c>
      <c r="C37" s="118"/>
      <c r="D37" s="118"/>
      <c r="E37" s="118"/>
      <c r="F37" s="118"/>
      <c r="G37" s="118"/>
      <c r="H37" s="118"/>
      <c r="I37" s="119"/>
      <c r="J37" s="107" t="s">
        <v>40</v>
      </c>
      <c r="K37" s="109" t="s">
        <v>24</v>
      </c>
      <c r="L37" s="112"/>
      <c r="M37" s="112"/>
      <c r="N37" s="113"/>
      <c r="O37" s="109" t="s">
        <v>41</v>
      </c>
      <c r="P37" s="110"/>
      <c r="Q37" s="111"/>
      <c r="R37" s="109" t="s">
        <v>23</v>
      </c>
      <c r="S37" s="112"/>
      <c r="T37" s="113"/>
      <c r="U37" s="114" t="s">
        <v>22</v>
      </c>
    </row>
    <row r="38" spans="1:24" ht="13.5" customHeight="1" x14ac:dyDescent="0.2">
      <c r="A38" s="116"/>
      <c r="B38" s="120"/>
      <c r="C38" s="121"/>
      <c r="D38" s="121"/>
      <c r="E38" s="121"/>
      <c r="F38" s="121"/>
      <c r="G38" s="121"/>
      <c r="H38" s="121"/>
      <c r="I38" s="122"/>
      <c r="J38" s="108"/>
      <c r="K38" s="5" t="s">
        <v>28</v>
      </c>
      <c r="L38" s="5" t="s">
        <v>29</v>
      </c>
      <c r="M38" s="5" t="s">
        <v>122</v>
      </c>
      <c r="N38" s="5" t="s">
        <v>123</v>
      </c>
      <c r="O38" s="5" t="s">
        <v>33</v>
      </c>
      <c r="P38" s="5" t="s">
        <v>7</v>
      </c>
      <c r="Q38" s="5" t="s">
        <v>30</v>
      </c>
      <c r="R38" s="5" t="s">
        <v>31</v>
      </c>
      <c r="S38" s="5" t="s">
        <v>28</v>
      </c>
      <c r="T38" s="5" t="s">
        <v>32</v>
      </c>
      <c r="U38" s="108"/>
    </row>
    <row r="39" spans="1:24" x14ac:dyDescent="0.2">
      <c r="A39" s="30" t="s">
        <v>169</v>
      </c>
      <c r="B39" s="77" t="s">
        <v>108</v>
      </c>
      <c r="C39" s="78"/>
      <c r="D39" s="78"/>
      <c r="E39" s="78"/>
      <c r="F39" s="78"/>
      <c r="G39" s="78"/>
      <c r="H39" s="78"/>
      <c r="I39" s="79"/>
      <c r="J39" s="11">
        <v>4</v>
      </c>
      <c r="K39" s="11">
        <v>2</v>
      </c>
      <c r="L39" s="11">
        <v>1</v>
      </c>
      <c r="M39" s="11">
        <v>0</v>
      </c>
      <c r="N39" s="11">
        <v>1</v>
      </c>
      <c r="O39" s="18">
        <f>K39+L39+M39+N39</f>
        <v>4</v>
      </c>
      <c r="P39" s="19">
        <f>Q39-O39</f>
        <v>3</v>
      </c>
      <c r="Q39" s="19">
        <f>ROUND(PRODUCT(J39,25)/14,0)</f>
        <v>7</v>
      </c>
      <c r="R39" s="23"/>
      <c r="S39" s="11" t="s">
        <v>28</v>
      </c>
      <c r="T39" s="24"/>
      <c r="U39" s="11" t="s">
        <v>36</v>
      </c>
    </row>
    <row r="40" spans="1:24" x14ac:dyDescent="0.2">
      <c r="A40" s="30" t="s">
        <v>170</v>
      </c>
      <c r="B40" s="87" t="s">
        <v>138</v>
      </c>
      <c r="C40" s="87"/>
      <c r="D40" s="87"/>
      <c r="E40" s="87"/>
      <c r="F40" s="87"/>
      <c r="G40" s="87"/>
      <c r="H40" s="87"/>
      <c r="I40" s="88"/>
      <c r="J40" s="11">
        <v>7</v>
      </c>
      <c r="K40" s="11">
        <v>2</v>
      </c>
      <c r="L40" s="11">
        <v>1</v>
      </c>
      <c r="M40" s="11">
        <v>0</v>
      </c>
      <c r="N40" s="11">
        <v>1</v>
      </c>
      <c r="O40" s="18">
        <f>K40+L40+M40+N40</f>
        <v>4</v>
      </c>
      <c r="P40" s="19">
        <f t="shared" ref="P40:P43" si="0">Q40-O40</f>
        <v>9</v>
      </c>
      <c r="Q40" s="19">
        <f>ROUND(PRODUCT(J40,25)/14,0)</f>
        <v>13</v>
      </c>
      <c r="R40" s="23" t="s">
        <v>31</v>
      </c>
      <c r="S40" s="11"/>
      <c r="T40" s="24"/>
      <c r="U40" s="11" t="s">
        <v>36</v>
      </c>
    </row>
    <row r="41" spans="1:24" x14ac:dyDescent="0.2">
      <c r="A41" s="30" t="s">
        <v>151</v>
      </c>
      <c r="B41" s="87" t="s">
        <v>164</v>
      </c>
      <c r="C41" s="87"/>
      <c r="D41" s="87"/>
      <c r="E41" s="87"/>
      <c r="F41" s="87"/>
      <c r="G41" s="87"/>
      <c r="H41" s="87"/>
      <c r="I41" s="88"/>
      <c r="J41" s="11">
        <v>8</v>
      </c>
      <c r="K41" s="11">
        <v>2</v>
      </c>
      <c r="L41" s="11">
        <v>1</v>
      </c>
      <c r="M41" s="11">
        <v>0</v>
      </c>
      <c r="N41" s="11">
        <v>1</v>
      </c>
      <c r="O41" s="18">
        <f>K41+L41+M41+N41</f>
        <v>4</v>
      </c>
      <c r="P41" s="19">
        <f t="shared" si="0"/>
        <v>10</v>
      </c>
      <c r="Q41" s="19">
        <f>ROUND(PRODUCT(J41,25)/14,0)</f>
        <v>14</v>
      </c>
      <c r="R41" s="23" t="s">
        <v>31</v>
      </c>
      <c r="S41" s="11"/>
      <c r="T41" s="24"/>
      <c r="U41" s="11" t="s">
        <v>39</v>
      </c>
    </row>
    <row r="42" spans="1:24" x14ac:dyDescent="0.2">
      <c r="A42" s="30" t="s">
        <v>152</v>
      </c>
      <c r="B42" s="77" t="s">
        <v>144</v>
      </c>
      <c r="C42" s="78"/>
      <c r="D42" s="78"/>
      <c r="E42" s="78"/>
      <c r="F42" s="78"/>
      <c r="G42" s="78"/>
      <c r="H42" s="78"/>
      <c r="I42" s="79"/>
      <c r="J42" s="11">
        <v>4</v>
      </c>
      <c r="K42" s="11">
        <v>0</v>
      </c>
      <c r="L42" s="11">
        <v>2</v>
      </c>
      <c r="M42" s="11">
        <v>1</v>
      </c>
      <c r="N42" s="11">
        <v>1</v>
      </c>
      <c r="O42" s="18">
        <f>K42+L42+M42+N42</f>
        <v>4</v>
      </c>
      <c r="P42" s="19">
        <f t="shared" si="0"/>
        <v>3</v>
      </c>
      <c r="Q42" s="19">
        <f>ROUND(PRODUCT(J42,25)/14,0)</f>
        <v>7</v>
      </c>
      <c r="R42" s="23" t="s">
        <v>31</v>
      </c>
      <c r="S42" s="11"/>
      <c r="T42" s="24"/>
      <c r="U42" s="11" t="s">
        <v>39</v>
      </c>
    </row>
    <row r="43" spans="1:24" x14ac:dyDescent="0.2">
      <c r="A43" s="30" t="s">
        <v>149</v>
      </c>
      <c r="B43" s="77" t="s">
        <v>111</v>
      </c>
      <c r="C43" s="78"/>
      <c r="D43" s="78"/>
      <c r="E43" s="78"/>
      <c r="F43" s="78"/>
      <c r="G43" s="78"/>
      <c r="H43" s="78"/>
      <c r="I43" s="79"/>
      <c r="J43" s="11">
        <v>7</v>
      </c>
      <c r="K43" s="11">
        <v>2</v>
      </c>
      <c r="L43" s="11">
        <v>1</v>
      </c>
      <c r="M43" s="11">
        <v>0</v>
      </c>
      <c r="N43" s="11">
        <v>1</v>
      </c>
      <c r="O43" s="18">
        <f>K43+L43+M43+N43</f>
        <v>4</v>
      </c>
      <c r="P43" s="19">
        <f t="shared" si="0"/>
        <v>9</v>
      </c>
      <c r="Q43" s="19">
        <f>ROUND(PRODUCT(J43,25)/14,0)</f>
        <v>13</v>
      </c>
      <c r="R43" s="23" t="s">
        <v>31</v>
      </c>
      <c r="S43" s="11"/>
      <c r="T43" s="24"/>
      <c r="U43" s="11" t="s">
        <v>36</v>
      </c>
    </row>
    <row r="44" spans="1:24" x14ac:dyDescent="0.2">
      <c r="A44" s="242" t="s">
        <v>25</v>
      </c>
      <c r="B44" s="243"/>
      <c r="C44" s="244"/>
      <c r="D44" s="244"/>
      <c r="E44" s="244"/>
      <c r="F44" s="244"/>
      <c r="G44" s="244"/>
      <c r="H44" s="244"/>
      <c r="I44" s="245"/>
      <c r="J44" s="242">
        <f t="shared" ref="J44:Q44" si="1">SUM(J39:J43)</f>
        <v>30</v>
      </c>
      <c r="K44" s="242">
        <f t="shared" si="1"/>
        <v>8</v>
      </c>
      <c r="L44" s="242">
        <f t="shared" si="1"/>
        <v>6</v>
      </c>
      <c r="M44" s="242">
        <f t="shared" si="1"/>
        <v>1</v>
      </c>
      <c r="N44" s="242">
        <f t="shared" si="1"/>
        <v>5</v>
      </c>
      <c r="O44" s="242">
        <f t="shared" si="1"/>
        <v>20</v>
      </c>
      <c r="P44" s="242">
        <f t="shared" si="1"/>
        <v>34</v>
      </c>
      <c r="Q44" s="242">
        <f t="shared" si="1"/>
        <v>54</v>
      </c>
      <c r="R44" s="242">
        <f>COUNTIF(R39:R43,"E")</f>
        <v>4</v>
      </c>
      <c r="S44" s="242">
        <f>COUNTIF(S39:S43,"C")</f>
        <v>1</v>
      </c>
      <c r="T44" s="242">
        <f>COUNTIF(T39:T43,"VP")</f>
        <v>0</v>
      </c>
      <c r="U44" s="246">
        <f>COUNTA(U39:U43)</f>
        <v>5</v>
      </c>
      <c r="V44" s="92" t="str">
        <f>IF(R44&gt;=SUM(S44:T44),"Corect","E trebuie să fie cel puțin egal cu C+VP")</f>
        <v>Corect</v>
      </c>
      <c r="W44" s="93"/>
      <c r="X44" s="93"/>
    </row>
    <row r="45" spans="1:24" x14ac:dyDescent="0.2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249"/>
    </row>
    <row r="46" spans="1:24" ht="16.5" customHeight="1" x14ac:dyDescent="0.2">
      <c r="A46" s="116" t="s">
        <v>43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</row>
    <row r="47" spans="1:24" ht="26.25" customHeight="1" x14ac:dyDescent="0.2">
      <c r="A47" s="115" t="s">
        <v>27</v>
      </c>
      <c r="B47" s="117" t="s">
        <v>26</v>
      </c>
      <c r="C47" s="118"/>
      <c r="D47" s="118"/>
      <c r="E47" s="118"/>
      <c r="F47" s="118"/>
      <c r="G47" s="118"/>
      <c r="H47" s="118"/>
      <c r="I47" s="119"/>
      <c r="J47" s="107" t="s">
        <v>40</v>
      </c>
      <c r="K47" s="109" t="s">
        <v>24</v>
      </c>
      <c r="L47" s="112"/>
      <c r="M47" s="112"/>
      <c r="N47" s="113"/>
      <c r="O47" s="109" t="s">
        <v>41</v>
      </c>
      <c r="P47" s="110"/>
      <c r="Q47" s="111"/>
      <c r="R47" s="109" t="s">
        <v>23</v>
      </c>
      <c r="S47" s="112"/>
      <c r="T47" s="113"/>
      <c r="U47" s="114" t="s">
        <v>22</v>
      </c>
    </row>
    <row r="48" spans="1:24" ht="12.75" customHeight="1" x14ac:dyDescent="0.2">
      <c r="A48" s="116"/>
      <c r="B48" s="120"/>
      <c r="C48" s="121"/>
      <c r="D48" s="121"/>
      <c r="E48" s="121"/>
      <c r="F48" s="121"/>
      <c r="G48" s="121"/>
      <c r="H48" s="121"/>
      <c r="I48" s="122"/>
      <c r="J48" s="108"/>
      <c r="K48" s="5" t="s">
        <v>28</v>
      </c>
      <c r="L48" s="5" t="s">
        <v>29</v>
      </c>
      <c r="M48" s="5" t="s">
        <v>122</v>
      </c>
      <c r="N48" s="5" t="s">
        <v>123</v>
      </c>
      <c r="O48" s="5" t="s">
        <v>33</v>
      </c>
      <c r="P48" s="5" t="s">
        <v>7</v>
      </c>
      <c r="Q48" s="5" t="s">
        <v>30</v>
      </c>
      <c r="R48" s="5" t="s">
        <v>31</v>
      </c>
      <c r="S48" s="5" t="s">
        <v>28</v>
      </c>
      <c r="T48" s="5" t="s">
        <v>32</v>
      </c>
      <c r="U48" s="108"/>
    </row>
    <row r="49" spans="1:24" x14ac:dyDescent="0.2">
      <c r="A49" s="30" t="s">
        <v>171</v>
      </c>
      <c r="B49" s="77" t="s">
        <v>133</v>
      </c>
      <c r="C49" s="78"/>
      <c r="D49" s="78"/>
      <c r="E49" s="78"/>
      <c r="F49" s="78"/>
      <c r="G49" s="78"/>
      <c r="H49" s="78"/>
      <c r="I49" s="79"/>
      <c r="J49" s="11">
        <v>7</v>
      </c>
      <c r="K49" s="11">
        <v>2</v>
      </c>
      <c r="L49" s="11">
        <v>1</v>
      </c>
      <c r="M49" s="11">
        <v>0</v>
      </c>
      <c r="N49" s="11">
        <v>1</v>
      </c>
      <c r="O49" s="18">
        <f>K49+L49+M49+N49</f>
        <v>4</v>
      </c>
      <c r="P49" s="19">
        <f>Q49-O49</f>
        <v>9</v>
      </c>
      <c r="Q49" s="19">
        <f>ROUND(PRODUCT(J49,25)/14,0)</f>
        <v>13</v>
      </c>
      <c r="R49" s="23" t="s">
        <v>31</v>
      </c>
      <c r="S49" s="11"/>
      <c r="T49" s="24"/>
      <c r="U49" s="11" t="s">
        <v>36</v>
      </c>
    </row>
    <row r="50" spans="1:24" x14ac:dyDescent="0.2">
      <c r="A50" s="30" t="s">
        <v>150</v>
      </c>
      <c r="B50" s="77" t="s">
        <v>134</v>
      </c>
      <c r="C50" s="78"/>
      <c r="D50" s="78"/>
      <c r="E50" s="78"/>
      <c r="F50" s="78"/>
      <c r="G50" s="78"/>
      <c r="H50" s="78"/>
      <c r="I50" s="79"/>
      <c r="J50" s="11">
        <v>6</v>
      </c>
      <c r="K50" s="11">
        <v>2</v>
      </c>
      <c r="L50" s="11">
        <v>1</v>
      </c>
      <c r="M50" s="11">
        <v>0</v>
      </c>
      <c r="N50" s="11">
        <v>1</v>
      </c>
      <c r="O50" s="18">
        <f>K50+L50+M50+N50</f>
        <v>4</v>
      </c>
      <c r="P50" s="19">
        <f>Q50-O50</f>
        <v>7</v>
      </c>
      <c r="Q50" s="19">
        <f>ROUND(PRODUCT(J50,25)/14,0)</f>
        <v>11</v>
      </c>
      <c r="R50" s="23" t="s">
        <v>31</v>
      </c>
      <c r="S50" s="11"/>
      <c r="T50" s="24"/>
      <c r="U50" s="11" t="s">
        <v>36</v>
      </c>
    </row>
    <row r="51" spans="1:24" x14ac:dyDescent="0.2">
      <c r="A51" s="30" t="s">
        <v>153</v>
      </c>
      <c r="B51" s="77" t="s">
        <v>137</v>
      </c>
      <c r="C51" s="78"/>
      <c r="D51" s="78"/>
      <c r="E51" s="78"/>
      <c r="F51" s="78"/>
      <c r="G51" s="78"/>
      <c r="H51" s="78"/>
      <c r="I51" s="79"/>
      <c r="J51" s="11">
        <v>6</v>
      </c>
      <c r="K51" s="11">
        <v>2</v>
      </c>
      <c r="L51" s="11">
        <v>1</v>
      </c>
      <c r="M51" s="11">
        <v>0</v>
      </c>
      <c r="N51" s="11">
        <v>1</v>
      </c>
      <c r="O51" s="18">
        <f>K51+L51+M51+N51</f>
        <v>4</v>
      </c>
      <c r="P51" s="19">
        <f t="shared" ref="P51:P53" si="2">Q51-O51</f>
        <v>7</v>
      </c>
      <c r="Q51" s="19">
        <f>ROUND(PRODUCT(J51,25)/14,0)</f>
        <v>11</v>
      </c>
      <c r="R51" s="23" t="s">
        <v>31</v>
      </c>
      <c r="S51" s="11"/>
      <c r="T51" s="24"/>
      <c r="U51" s="11" t="s">
        <v>38</v>
      </c>
    </row>
    <row r="52" spans="1:24" x14ac:dyDescent="0.2">
      <c r="A52" s="30" t="s">
        <v>154</v>
      </c>
      <c r="B52" s="48" t="s">
        <v>145</v>
      </c>
      <c r="C52" s="49"/>
      <c r="D52" s="49"/>
      <c r="E52" s="49"/>
      <c r="F52" s="49"/>
      <c r="G52" s="49"/>
      <c r="H52" s="49"/>
      <c r="I52" s="50"/>
      <c r="J52" s="11">
        <v>4</v>
      </c>
      <c r="K52" s="11">
        <v>0</v>
      </c>
      <c r="L52" s="11">
        <v>2</v>
      </c>
      <c r="M52" s="11">
        <v>1</v>
      </c>
      <c r="N52" s="11">
        <v>1</v>
      </c>
      <c r="O52" s="18">
        <f>K52+L52+M52+N52</f>
        <v>4</v>
      </c>
      <c r="P52" s="19">
        <f t="shared" si="2"/>
        <v>3</v>
      </c>
      <c r="Q52" s="19">
        <f>ROUND(PRODUCT(J52,25)/14,0)</f>
        <v>7</v>
      </c>
      <c r="R52" s="23" t="s">
        <v>31</v>
      </c>
      <c r="S52" s="11"/>
      <c r="T52" s="24"/>
      <c r="U52" s="11" t="s">
        <v>39</v>
      </c>
    </row>
    <row r="53" spans="1:24" x14ac:dyDescent="0.2">
      <c r="A53" s="30" t="s">
        <v>155</v>
      </c>
      <c r="B53" s="77" t="s">
        <v>115</v>
      </c>
      <c r="C53" s="78"/>
      <c r="D53" s="78"/>
      <c r="E53" s="78"/>
      <c r="F53" s="78"/>
      <c r="G53" s="78"/>
      <c r="H53" s="78"/>
      <c r="I53" s="79"/>
      <c r="J53" s="11">
        <v>7</v>
      </c>
      <c r="K53" s="11">
        <v>2</v>
      </c>
      <c r="L53" s="11">
        <v>1</v>
      </c>
      <c r="M53" s="11">
        <v>0</v>
      </c>
      <c r="N53" s="11">
        <v>1</v>
      </c>
      <c r="O53" s="18">
        <f>K53+L53+M53+N53</f>
        <v>4</v>
      </c>
      <c r="P53" s="19">
        <f t="shared" si="2"/>
        <v>9</v>
      </c>
      <c r="Q53" s="19">
        <f>ROUND(PRODUCT(J53,25)/14,0)</f>
        <v>13</v>
      </c>
      <c r="R53" s="23" t="s">
        <v>31</v>
      </c>
      <c r="S53" s="11"/>
      <c r="T53" s="24"/>
      <c r="U53" s="11" t="s">
        <v>38</v>
      </c>
    </row>
    <row r="54" spans="1:24" ht="13.5" customHeight="1" x14ac:dyDescent="0.2">
      <c r="A54" s="242" t="s">
        <v>25</v>
      </c>
      <c r="B54" s="243"/>
      <c r="C54" s="244"/>
      <c r="D54" s="244"/>
      <c r="E54" s="244"/>
      <c r="F54" s="244"/>
      <c r="G54" s="244"/>
      <c r="H54" s="244"/>
      <c r="I54" s="245"/>
      <c r="J54" s="242">
        <f t="shared" ref="J54:Q54" si="3">SUM(J49:J53)</f>
        <v>30</v>
      </c>
      <c r="K54" s="242">
        <f t="shared" si="3"/>
        <v>8</v>
      </c>
      <c r="L54" s="242">
        <f t="shared" si="3"/>
        <v>6</v>
      </c>
      <c r="M54" s="242">
        <f t="shared" si="3"/>
        <v>1</v>
      </c>
      <c r="N54" s="242">
        <f t="shared" si="3"/>
        <v>5</v>
      </c>
      <c r="O54" s="242">
        <f t="shared" si="3"/>
        <v>20</v>
      </c>
      <c r="P54" s="242">
        <f t="shared" si="3"/>
        <v>35</v>
      </c>
      <c r="Q54" s="242">
        <f t="shared" si="3"/>
        <v>55</v>
      </c>
      <c r="R54" s="242">
        <f>COUNTIF(R49:R53,"E")</f>
        <v>5</v>
      </c>
      <c r="S54" s="242">
        <f>COUNTIF(S49:S53,"C")</f>
        <v>0</v>
      </c>
      <c r="T54" s="242">
        <f>COUNTIF(T49:T53,"VP")</f>
        <v>0</v>
      </c>
      <c r="U54" s="246">
        <f>COUNTA(U49:U53)</f>
        <v>5</v>
      </c>
      <c r="V54" s="92" t="str">
        <f>IF(R54&gt;=SUM(S54:T54),"Corect","E trebuie să fie cel puțin egal cu C+VP")</f>
        <v>Corect</v>
      </c>
      <c r="W54" s="93"/>
      <c r="X54" s="93"/>
    </row>
    <row r="55" spans="1:24" ht="13.5" customHeight="1" x14ac:dyDescent="0.2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249"/>
    </row>
    <row r="56" spans="1:24" ht="18" customHeight="1" x14ac:dyDescent="0.2">
      <c r="A56" s="116" t="s">
        <v>44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</row>
    <row r="57" spans="1:24" ht="25.5" customHeight="1" x14ac:dyDescent="0.2">
      <c r="A57" s="115" t="s">
        <v>27</v>
      </c>
      <c r="B57" s="117" t="s">
        <v>26</v>
      </c>
      <c r="C57" s="118"/>
      <c r="D57" s="118"/>
      <c r="E57" s="118"/>
      <c r="F57" s="118"/>
      <c r="G57" s="118"/>
      <c r="H57" s="118"/>
      <c r="I57" s="119"/>
      <c r="J57" s="107" t="s">
        <v>40</v>
      </c>
      <c r="K57" s="109" t="s">
        <v>24</v>
      </c>
      <c r="L57" s="112"/>
      <c r="M57" s="112"/>
      <c r="N57" s="113"/>
      <c r="O57" s="109" t="s">
        <v>41</v>
      </c>
      <c r="P57" s="110"/>
      <c r="Q57" s="111"/>
      <c r="R57" s="109" t="s">
        <v>23</v>
      </c>
      <c r="S57" s="112"/>
      <c r="T57" s="113"/>
      <c r="U57" s="114" t="s">
        <v>22</v>
      </c>
    </row>
    <row r="58" spans="1:24" ht="16.5" customHeight="1" x14ac:dyDescent="0.2">
      <c r="A58" s="116"/>
      <c r="B58" s="120"/>
      <c r="C58" s="121"/>
      <c r="D58" s="121"/>
      <c r="E58" s="121"/>
      <c r="F58" s="121"/>
      <c r="G58" s="121"/>
      <c r="H58" s="121"/>
      <c r="I58" s="122"/>
      <c r="J58" s="108"/>
      <c r="K58" s="5" t="s">
        <v>28</v>
      </c>
      <c r="L58" s="5" t="s">
        <v>29</v>
      </c>
      <c r="M58" s="5" t="s">
        <v>122</v>
      </c>
      <c r="N58" s="5" t="s">
        <v>123</v>
      </c>
      <c r="O58" s="5" t="s">
        <v>33</v>
      </c>
      <c r="P58" s="5" t="s">
        <v>7</v>
      </c>
      <c r="Q58" s="5" t="s">
        <v>30</v>
      </c>
      <c r="R58" s="5" t="s">
        <v>31</v>
      </c>
      <c r="S58" s="5" t="s">
        <v>28</v>
      </c>
      <c r="T58" s="5" t="s">
        <v>32</v>
      </c>
      <c r="U58" s="108"/>
    </row>
    <row r="59" spans="1:24" x14ac:dyDescent="0.2">
      <c r="A59" s="30" t="s">
        <v>156</v>
      </c>
      <c r="B59" s="77" t="s">
        <v>148</v>
      </c>
      <c r="C59" s="78"/>
      <c r="D59" s="78"/>
      <c r="E59" s="78"/>
      <c r="F59" s="78"/>
      <c r="G59" s="78"/>
      <c r="H59" s="78"/>
      <c r="I59" s="79"/>
      <c r="J59" s="11">
        <v>8</v>
      </c>
      <c r="K59" s="11">
        <v>2</v>
      </c>
      <c r="L59" s="11">
        <v>1</v>
      </c>
      <c r="M59" s="11">
        <v>0</v>
      </c>
      <c r="N59" s="11">
        <v>1</v>
      </c>
      <c r="O59" s="18">
        <f>K59+L59+M59+N59</f>
        <v>4</v>
      </c>
      <c r="P59" s="19">
        <f>Q59-O59</f>
        <v>10</v>
      </c>
      <c r="Q59" s="19">
        <f>ROUND(PRODUCT(J59,25)/14,0)</f>
        <v>14</v>
      </c>
      <c r="R59" s="23" t="s">
        <v>31</v>
      </c>
      <c r="S59" s="11"/>
      <c r="T59" s="24"/>
      <c r="U59" s="11" t="s">
        <v>36</v>
      </c>
    </row>
    <row r="60" spans="1:24" x14ac:dyDescent="0.2">
      <c r="A60" s="64" t="s">
        <v>157</v>
      </c>
      <c r="B60" s="80" t="s">
        <v>147</v>
      </c>
      <c r="C60" s="81"/>
      <c r="D60" s="81"/>
      <c r="E60" s="81"/>
      <c r="F60" s="81"/>
      <c r="G60" s="81"/>
      <c r="H60" s="81"/>
      <c r="I60" s="207"/>
      <c r="J60" s="65">
        <v>8</v>
      </c>
      <c r="K60" s="65">
        <v>2</v>
      </c>
      <c r="L60" s="65">
        <v>1</v>
      </c>
      <c r="M60" s="65">
        <v>0</v>
      </c>
      <c r="N60" s="65">
        <v>1</v>
      </c>
      <c r="O60" s="66">
        <v>4</v>
      </c>
      <c r="P60" s="67">
        <v>9</v>
      </c>
      <c r="Q60" s="67">
        <v>13</v>
      </c>
      <c r="R60" s="68" t="s">
        <v>31</v>
      </c>
      <c r="S60" s="69"/>
      <c r="T60" s="70"/>
      <c r="U60" s="69" t="s">
        <v>36</v>
      </c>
    </row>
    <row r="61" spans="1:24" x14ac:dyDescent="0.2">
      <c r="A61" s="30" t="s">
        <v>158</v>
      </c>
      <c r="B61" s="77" t="s">
        <v>135</v>
      </c>
      <c r="C61" s="78"/>
      <c r="D61" s="78"/>
      <c r="E61" s="78"/>
      <c r="F61" s="78"/>
      <c r="G61" s="78"/>
      <c r="H61" s="78"/>
      <c r="I61" s="79"/>
      <c r="J61" s="11">
        <v>3</v>
      </c>
      <c r="K61" s="11">
        <v>0</v>
      </c>
      <c r="L61" s="11">
        <v>0</v>
      </c>
      <c r="M61" s="11">
        <v>0</v>
      </c>
      <c r="N61" s="11">
        <v>1</v>
      </c>
      <c r="O61" s="18">
        <f>K61+L61+M61+N61</f>
        <v>1</v>
      </c>
      <c r="P61" s="19">
        <f t="shared" ref="P61:P63" si="4">Q61-O61</f>
        <v>4</v>
      </c>
      <c r="Q61" s="19">
        <f>ROUND(PRODUCT(J61,25)/14,0)</f>
        <v>5</v>
      </c>
      <c r="R61" s="23" t="s">
        <v>31</v>
      </c>
      <c r="S61" s="11"/>
      <c r="T61" s="24"/>
      <c r="U61" s="11" t="s">
        <v>38</v>
      </c>
    </row>
    <row r="62" spans="1:24" x14ac:dyDescent="0.2">
      <c r="A62" s="30" t="s">
        <v>159</v>
      </c>
      <c r="B62" s="77" t="s">
        <v>146</v>
      </c>
      <c r="C62" s="78"/>
      <c r="D62" s="78"/>
      <c r="E62" s="78"/>
      <c r="F62" s="78"/>
      <c r="G62" s="78"/>
      <c r="H62" s="78"/>
      <c r="I62" s="79"/>
      <c r="J62" s="11">
        <v>4</v>
      </c>
      <c r="K62" s="11">
        <v>0</v>
      </c>
      <c r="L62" s="11">
        <v>2</v>
      </c>
      <c r="M62" s="11">
        <v>1</v>
      </c>
      <c r="N62" s="11">
        <v>1</v>
      </c>
      <c r="O62" s="18">
        <f>K62+L62+M62+N62</f>
        <v>4</v>
      </c>
      <c r="P62" s="19">
        <f t="shared" si="4"/>
        <v>3</v>
      </c>
      <c r="Q62" s="19">
        <f>ROUND(PRODUCT(J62,25)/14,0)</f>
        <v>7</v>
      </c>
      <c r="R62" s="23" t="s">
        <v>31</v>
      </c>
      <c r="S62" s="11"/>
      <c r="T62" s="24"/>
      <c r="U62" s="11" t="s">
        <v>39</v>
      </c>
    </row>
    <row r="63" spans="1:24" x14ac:dyDescent="0.2">
      <c r="A63" s="30" t="s">
        <v>160</v>
      </c>
      <c r="B63" s="77" t="s">
        <v>114</v>
      </c>
      <c r="C63" s="78"/>
      <c r="D63" s="78"/>
      <c r="E63" s="78"/>
      <c r="F63" s="78"/>
      <c r="G63" s="78"/>
      <c r="H63" s="78"/>
      <c r="I63" s="79"/>
      <c r="J63" s="11">
        <v>7</v>
      </c>
      <c r="K63" s="11">
        <v>2</v>
      </c>
      <c r="L63" s="11">
        <v>1</v>
      </c>
      <c r="M63" s="11">
        <v>0</v>
      </c>
      <c r="N63" s="11">
        <v>1</v>
      </c>
      <c r="O63" s="18">
        <f>K63+L63+M63+N63</f>
        <v>4</v>
      </c>
      <c r="P63" s="19">
        <f t="shared" si="4"/>
        <v>9</v>
      </c>
      <c r="Q63" s="19">
        <f>ROUND(PRODUCT(J63,25)/14,0)</f>
        <v>13</v>
      </c>
      <c r="R63" s="23" t="s">
        <v>31</v>
      </c>
      <c r="S63" s="11"/>
      <c r="T63" s="24"/>
      <c r="U63" s="11" t="s">
        <v>38</v>
      </c>
    </row>
    <row r="64" spans="1:24" x14ac:dyDescent="0.2">
      <c r="A64" s="242" t="s">
        <v>25</v>
      </c>
      <c r="B64" s="243"/>
      <c r="C64" s="244"/>
      <c r="D64" s="244"/>
      <c r="E64" s="244"/>
      <c r="F64" s="244"/>
      <c r="G64" s="244"/>
      <c r="H64" s="244"/>
      <c r="I64" s="245"/>
      <c r="J64" s="242">
        <f t="shared" ref="J64:Q64" si="5">SUM(J59:J63)</f>
        <v>30</v>
      </c>
      <c r="K64" s="242">
        <f t="shared" si="5"/>
        <v>6</v>
      </c>
      <c r="L64" s="242">
        <f t="shared" si="5"/>
        <v>5</v>
      </c>
      <c r="M64" s="242">
        <f t="shared" si="5"/>
        <v>1</v>
      </c>
      <c r="N64" s="242">
        <f t="shared" si="5"/>
        <v>5</v>
      </c>
      <c r="O64" s="242">
        <f t="shared" si="5"/>
        <v>17</v>
      </c>
      <c r="P64" s="242">
        <f t="shared" si="5"/>
        <v>35</v>
      </c>
      <c r="Q64" s="242">
        <f t="shared" si="5"/>
        <v>52</v>
      </c>
      <c r="R64" s="242">
        <f>COUNTIF(R59:R63,"E")</f>
        <v>5</v>
      </c>
      <c r="S64" s="242">
        <f>COUNTIF(S59:S63,"C")</f>
        <v>0</v>
      </c>
      <c r="T64" s="242">
        <f>COUNTIF(T59:T63,"VP")</f>
        <v>0</v>
      </c>
      <c r="U64" s="246">
        <f>COUNTA(U59:U63)</f>
        <v>5</v>
      </c>
      <c r="V64" s="92" t="str">
        <f>IF(R64&gt;=SUM(S64:T64),"Corect","E trebuie să fie cel puțin egal cu C+VP")</f>
        <v>Corect</v>
      </c>
      <c r="W64" s="93"/>
      <c r="X64" s="93"/>
    </row>
    <row r="65" spans="1:24" s="252" customFormat="1" ht="16.5" customHeight="1" x14ac:dyDescent="0.2">
      <c r="A65" s="250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1"/>
    </row>
    <row r="66" spans="1:24" ht="18.75" customHeight="1" x14ac:dyDescent="0.2">
      <c r="A66" s="74" t="s">
        <v>45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</row>
    <row r="67" spans="1:24" ht="24.75" customHeight="1" x14ac:dyDescent="0.2">
      <c r="A67" s="115" t="s">
        <v>27</v>
      </c>
      <c r="B67" s="117" t="s">
        <v>26</v>
      </c>
      <c r="C67" s="118"/>
      <c r="D67" s="118"/>
      <c r="E67" s="118"/>
      <c r="F67" s="118"/>
      <c r="G67" s="118"/>
      <c r="H67" s="118"/>
      <c r="I67" s="119"/>
      <c r="J67" s="107" t="s">
        <v>40</v>
      </c>
      <c r="K67" s="109" t="s">
        <v>24</v>
      </c>
      <c r="L67" s="112"/>
      <c r="M67" s="112"/>
      <c r="N67" s="113"/>
      <c r="O67" s="109" t="s">
        <v>41</v>
      </c>
      <c r="P67" s="110"/>
      <c r="Q67" s="111"/>
      <c r="R67" s="109" t="s">
        <v>23</v>
      </c>
      <c r="S67" s="112"/>
      <c r="T67" s="113"/>
      <c r="U67" s="114" t="s">
        <v>22</v>
      </c>
    </row>
    <row r="68" spans="1:24" x14ac:dyDescent="0.2">
      <c r="A68" s="116"/>
      <c r="B68" s="120"/>
      <c r="C68" s="121"/>
      <c r="D68" s="121"/>
      <c r="E68" s="121"/>
      <c r="F68" s="121"/>
      <c r="G68" s="121"/>
      <c r="H68" s="121"/>
      <c r="I68" s="122"/>
      <c r="J68" s="108"/>
      <c r="K68" s="5" t="s">
        <v>28</v>
      </c>
      <c r="L68" s="5" t="s">
        <v>29</v>
      </c>
      <c r="M68" s="5" t="s">
        <v>122</v>
      </c>
      <c r="N68" s="5" t="s">
        <v>123</v>
      </c>
      <c r="O68" s="5" t="s">
        <v>33</v>
      </c>
      <c r="P68" s="5" t="s">
        <v>7</v>
      </c>
      <c r="Q68" s="5" t="s">
        <v>30</v>
      </c>
      <c r="R68" s="5" t="s">
        <v>31</v>
      </c>
      <c r="S68" s="5" t="s">
        <v>28</v>
      </c>
      <c r="T68" s="5" t="s">
        <v>32</v>
      </c>
      <c r="U68" s="108"/>
    </row>
    <row r="69" spans="1:24" x14ac:dyDescent="0.2">
      <c r="A69" s="30" t="s">
        <v>161</v>
      </c>
      <c r="B69" s="77" t="s">
        <v>124</v>
      </c>
      <c r="C69" s="78"/>
      <c r="D69" s="78"/>
      <c r="E69" s="78"/>
      <c r="F69" s="78"/>
      <c r="G69" s="78"/>
      <c r="H69" s="78"/>
      <c r="I69" s="79"/>
      <c r="J69" s="11">
        <v>20</v>
      </c>
      <c r="K69" s="11">
        <v>0</v>
      </c>
      <c r="L69" s="11">
        <v>0</v>
      </c>
      <c r="M69" s="11">
        <v>0</v>
      </c>
      <c r="N69" s="11">
        <v>16</v>
      </c>
      <c r="O69" s="18">
        <f>K69+L69+M69+N69</f>
        <v>16</v>
      </c>
      <c r="P69" s="19">
        <f>Q69-O69</f>
        <v>26</v>
      </c>
      <c r="Q69" s="19">
        <f>ROUND(PRODUCT(J69,25)/12,0)</f>
        <v>42</v>
      </c>
      <c r="R69" s="23"/>
      <c r="S69" s="11" t="s">
        <v>28</v>
      </c>
      <c r="T69" s="24"/>
      <c r="U69" s="11" t="s">
        <v>38</v>
      </c>
    </row>
    <row r="70" spans="1:24" x14ac:dyDescent="0.2">
      <c r="A70" s="30" t="s">
        <v>162</v>
      </c>
      <c r="B70" s="77" t="s">
        <v>136</v>
      </c>
      <c r="C70" s="78"/>
      <c r="D70" s="78"/>
      <c r="E70" s="78"/>
      <c r="F70" s="78"/>
      <c r="G70" s="78"/>
      <c r="H70" s="78"/>
      <c r="I70" s="79"/>
      <c r="J70" s="11">
        <v>6</v>
      </c>
      <c r="K70" s="11">
        <v>0</v>
      </c>
      <c r="L70" s="11">
        <v>0</v>
      </c>
      <c r="M70" s="11">
        <v>1</v>
      </c>
      <c r="N70" s="11">
        <v>2</v>
      </c>
      <c r="O70" s="18">
        <f>K70+L70+M70+N70</f>
        <v>3</v>
      </c>
      <c r="P70" s="19">
        <f t="shared" ref="P70:P71" si="6">Q70-O70</f>
        <v>10</v>
      </c>
      <c r="Q70" s="19">
        <f>ROUND(PRODUCT(J70,25)/12,0)</f>
        <v>13</v>
      </c>
      <c r="R70" s="23"/>
      <c r="S70" s="11" t="s">
        <v>28</v>
      </c>
      <c r="T70" s="24"/>
      <c r="U70" s="11" t="s">
        <v>38</v>
      </c>
    </row>
    <row r="71" spans="1:24" x14ac:dyDescent="0.2">
      <c r="A71" s="30" t="s">
        <v>172</v>
      </c>
      <c r="B71" s="77" t="s">
        <v>127</v>
      </c>
      <c r="C71" s="78"/>
      <c r="D71" s="78"/>
      <c r="E71" s="78"/>
      <c r="F71" s="78"/>
      <c r="G71" s="78"/>
      <c r="H71" s="78"/>
      <c r="I71" s="79"/>
      <c r="J71" s="11">
        <v>4</v>
      </c>
      <c r="K71" s="11">
        <v>0</v>
      </c>
      <c r="L71" s="11">
        <v>0</v>
      </c>
      <c r="M71" s="11">
        <v>0</v>
      </c>
      <c r="N71" s="11">
        <v>5</v>
      </c>
      <c r="O71" s="18">
        <f>K71+L71+M71+N71</f>
        <v>5</v>
      </c>
      <c r="P71" s="19">
        <f t="shared" si="6"/>
        <v>3</v>
      </c>
      <c r="Q71" s="19">
        <f>ROUND(PRODUCT(J71,25)/12,0)</f>
        <v>8</v>
      </c>
      <c r="R71" s="23"/>
      <c r="S71" s="11"/>
      <c r="T71" s="24" t="s">
        <v>32</v>
      </c>
      <c r="U71" s="11" t="s">
        <v>38</v>
      </c>
    </row>
    <row r="72" spans="1:24" x14ac:dyDescent="0.2">
      <c r="A72" s="20" t="s">
        <v>25</v>
      </c>
      <c r="B72" s="83"/>
      <c r="C72" s="84"/>
      <c r="D72" s="84"/>
      <c r="E72" s="84"/>
      <c r="F72" s="84"/>
      <c r="G72" s="84"/>
      <c r="H72" s="84"/>
      <c r="I72" s="85"/>
      <c r="J72" s="20">
        <f t="shared" ref="J72:Q72" si="7">SUM(J69:J71)</f>
        <v>30</v>
      </c>
      <c r="K72" s="20">
        <f t="shared" si="7"/>
        <v>0</v>
      </c>
      <c r="L72" s="20">
        <f t="shared" si="7"/>
        <v>0</v>
      </c>
      <c r="M72" s="20">
        <f t="shared" si="7"/>
        <v>1</v>
      </c>
      <c r="N72" s="20">
        <f t="shared" si="7"/>
        <v>23</v>
      </c>
      <c r="O72" s="20">
        <f t="shared" si="7"/>
        <v>24</v>
      </c>
      <c r="P72" s="20">
        <f t="shared" si="7"/>
        <v>39</v>
      </c>
      <c r="Q72" s="20">
        <f t="shared" si="7"/>
        <v>63</v>
      </c>
      <c r="R72" s="20">
        <f>COUNTIF(R69:R71,"E")</f>
        <v>0</v>
      </c>
      <c r="S72" s="20">
        <f>COUNTIF(S69:S71,"C")</f>
        <v>2</v>
      </c>
      <c r="T72" s="20">
        <f>COUNTIF(T69:T71,"VP")</f>
        <v>1</v>
      </c>
      <c r="U72" s="46">
        <f>COUNTA(U69:U71)</f>
        <v>3</v>
      </c>
      <c r="V72" s="92" t="str">
        <f>IF(R72&gt;=SUM(S72:T72),"Corect","E trebuie să fie cel puțin egal cu C+VP")</f>
        <v>E trebuie să fie cel puțin egal cu C+VP</v>
      </c>
      <c r="W72" s="93"/>
      <c r="X72" s="93"/>
    </row>
    <row r="73" spans="1:24" ht="29.25" customHeight="1" x14ac:dyDescent="0.2">
      <c r="A73" s="247"/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8"/>
    </row>
    <row r="74" spans="1:24" ht="19.5" customHeight="1" x14ac:dyDescent="0.2">
      <c r="A74" s="123" t="s">
        <v>46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</row>
    <row r="75" spans="1:24" ht="27.75" customHeight="1" x14ac:dyDescent="0.2">
      <c r="A75" s="115" t="s">
        <v>27</v>
      </c>
      <c r="B75" s="117" t="s">
        <v>26</v>
      </c>
      <c r="C75" s="118"/>
      <c r="D75" s="118"/>
      <c r="E75" s="118"/>
      <c r="F75" s="118"/>
      <c r="G75" s="118"/>
      <c r="H75" s="118"/>
      <c r="I75" s="119"/>
      <c r="J75" s="107" t="s">
        <v>40</v>
      </c>
      <c r="K75" s="75" t="s">
        <v>24</v>
      </c>
      <c r="L75" s="75"/>
      <c r="M75" s="75"/>
      <c r="N75" s="75"/>
      <c r="O75" s="75" t="s">
        <v>41</v>
      </c>
      <c r="P75" s="76"/>
      <c r="Q75" s="76"/>
      <c r="R75" s="75" t="s">
        <v>23</v>
      </c>
      <c r="S75" s="75"/>
      <c r="T75" s="75"/>
      <c r="U75" s="75" t="s">
        <v>22</v>
      </c>
      <c r="V75" s="1">
        <f>(161*14)+63*12</f>
        <v>3010</v>
      </c>
    </row>
    <row r="76" spans="1:24" ht="12.75" customHeight="1" x14ac:dyDescent="0.2">
      <c r="A76" s="116"/>
      <c r="B76" s="120"/>
      <c r="C76" s="121"/>
      <c r="D76" s="121"/>
      <c r="E76" s="121"/>
      <c r="F76" s="121"/>
      <c r="G76" s="121"/>
      <c r="H76" s="121"/>
      <c r="I76" s="122"/>
      <c r="J76" s="108"/>
      <c r="K76" s="5" t="s">
        <v>28</v>
      </c>
      <c r="L76" s="5" t="s">
        <v>29</v>
      </c>
      <c r="M76" s="5" t="s">
        <v>122</v>
      </c>
      <c r="N76" s="5" t="s">
        <v>123</v>
      </c>
      <c r="O76" s="5" t="s">
        <v>33</v>
      </c>
      <c r="P76" s="5" t="s">
        <v>7</v>
      </c>
      <c r="Q76" s="5" t="s">
        <v>30</v>
      </c>
      <c r="R76" s="5" t="s">
        <v>31</v>
      </c>
      <c r="S76" s="5" t="s">
        <v>28</v>
      </c>
      <c r="T76" s="5" t="s">
        <v>32</v>
      </c>
      <c r="U76" s="75"/>
    </row>
    <row r="77" spans="1:24" x14ac:dyDescent="0.2">
      <c r="A77" s="173" t="s">
        <v>47</v>
      </c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5"/>
    </row>
    <row r="78" spans="1:24" x14ac:dyDescent="0.2">
      <c r="A78" s="30" t="s">
        <v>139</v>
      </c>
      <c r="B78" s="178" t="s">
        <v>140</v>
      </c>
      <c r="C78" s="87"/>
      <c r="D78" s="87"/>
      <c r="E78" s="87"/>
      <c r="F78" s="87"/>
      <c r="G78" s="87"/>
      <c r="H78" s="87"/>
      <c r="I78" s="88"/>
      <c r="J78" s="25">
        <v>7</v>
      </c>
      <c r="K78" s="25">
        <v>2</v>
      </c>
      <c r="L78" s="25">
        <v>1</v>
      </c>
      <c r="M78" s="25">
        <v>0</v>
      </c>
      <c r="N78" s="25">
        <v>1</v>
      </c>
      <c r="O78" s="18">
        <f>K78+L78+M78+N78</f>
        <v>4</v>
      </c>
      <c r="P78" s="19">
        <f>Q78-O78</f>
        <v>9</v>
      </c>
      <c r="Q78" s="19">
        <f>ROUND(PRODUCT(J78,25)/14,0)</f>
        <v>13</v>
      </c>
      <c r="R78" s="25" t="s">
        <v>31</v>
      </c>
      <c r="S78" s="25"/>
      <c r="T78" s="26"/>
      <c r="U78" s="11" t="s">
        <v>36</v>
      </c>
    </row>
    <row r="79" spans="1:24" x14ac:dyDescent="0.2">
      <c r="A79" s="52" t="s">
        <v>180</v>
      </c>
      <c r="B79" s="167" t="s">
        <v>141</v>
      </c>
      <c r="C79" s="168"/>
      <c r="D79" s="168"/>
      <c r="E79" s="168"/>
      <c r="F79" s="168"/>
      <c r="G79" s="168"/>
      <c r="H79" s="168"/>
      <c r="I79" s="169"/>
      <c r="J79" s="25">
        <v>7</v>
      </c>
      <c r="K79" s="25">
        <v>2</v>
      </c>
      <c r="L79" s="25">
        <v>1</v>
      </c>
      <c r="M79" s="25">
        <v>0</v>
      </c>
      <c r="N79" s="25">
        <v>1</v>
      </c>
      <c r="O79" s="18">
        <f>K79+L79+M79+N79</f>
        <v>4</v>
      </c>
      <c r="P79" s="19">
        <f t="shared" ref="P79:P87" si="8">Q79-O79</f>
        <v>9</v>
      </c>
      <c r="Q79" s="19">
        <f>ROUND(PRODUCT(J79,25)/14,0)</f>
        <v>13</v>
      </c>
      <c r="R79" s="25" t="s">
        <v>31</v>
      </c>
      <c r="S79" s="25"/>
      <c r="T79" s="26"/>
      <c r="U79" s="11" t="s">
        <v>36</v>
      </c>
    </row>
    <row r="80" spans="1:24" x14ac:dyDescent="0.2">
      <c r="A80" s="53" t="s">
        <v>142</v>
      </c>
      <c r="B80" s="72" t="s">
        <v>143</v>
      </c>
      <c r="C80" s="72"/>
      <c r="D80" s="72"/>
      <c r="E80" s="72"/>
      <c r="F80" s="72"/>
      <c r="G80" s="72"/>
      <c r="H80" s="72"/>
      <c r="I80" s="72"/>
      <c r="J80" s="25">
        <v>7</v>
      </c>
      <c r="K80" s="25">
        <v>2</v>
      </c>
      <c r="L80" s="25">
        <v>1</v>
      </c>
      <c r="M80" s="25">
        <v>0</v>
      </c>
      <c r="N80" s="25">
        <v>1</v>
      </c>
      <c r="O80" s="18">
        <f>K80+L80+M80+N80</f>
        <v>4</v>
      </c>
      <c r="P80" s="19">
        <f t="shared" si="8"/>
        <v>9</v>
      </c>
      <c r="Q80" s="19">
        <f>ROUND(PRODUCT(J80,25)/14,0)</f>
        <v>13</v>
      </c>
      <c r="R80" s="25" t="s">
        <v>31</v>
      </c>
      <c r="S80" s="25"/>
      <c r="T80" s="26"/>
      <c r="U80" s="11" t="s">
        <v>36</v>
      </c>
    </row>
    <row r="81" spans="1:21" x14ac:dyDescent="0.2">
      <c r="A81" s="30" t="s">
        <v>109</v>
      </c>
      <c r="B81" s="87" t="s">
        <v>110</v>
      </c>
      <c r="C81" s="87"/>
      <c r="D81" s="87"/>
      <c r="E81" s="87"/>
      <c r="F81" s="87"/>
      <c r="G81" s="87"/>
      <c r="H81" s="87"/>
      <c r="I81" s="88"/>
      <c r="J81" s="17">
        <v>7</v>
      </c>
      <c r="K81" s="25">
        <v>2</v>
      </c>
      <c r="L81" s="25">
        <v>1</v>
      </c>
      <c r="M81" s="25">
        <v>0</v>
      </c>
      <c r="N81" s="25">
        <v>1</v>
      </c>
      <c r="O81" s="18">
        <f>K81+L81+M81+N81</f>
        <v>4</v>
      </c>
      <c r="P81" s="19">
        <f t="shared" ref="P81" si="9">Q81-O81</f>
        <v>9</v>
      </c>
      <c r="Q81" s="19">
        <f>ROUND(PRODUCT(J81,25)/14,0)</f>
        <v>13</v>
      </c>
      <c r="R81" s="25" t="s">
        <v>31</v>
      </c>
      <c r="S81" s="25"/>
      <c r="T81" s="26"/>
      <c r="U81" s="11" t="s">
        <v>36</v>
      </c>
    </row>
    <row r="82" spans="1:21" x14ac:dyDescent="0.2">
      <c r="A82" s="170" t="s">
        <v>48</v>
      </c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7"/>
    </row>
    <row r="83" spans="1:21" x14ac:dyDescent="0.2">
      <c r="A83" s="30" t="s">
        <v>112</v>
      </c>
      <c r="B83" s="77" t="s">
        <v>113</v>
      </c>
      <c r="C83" s="78"/>
      <c r="D83" s="78"/>
      <c r="E83" s="78"/>
      <c r="F83" s="78"/>
      <c r="G83" s="78"/>
      <c r="H83" s="78"/>
      <c r="I83" s="79"/>
      <c r="J83" s="25">
        <v>7</v>
      </c>
      <c r="K83" s="25">
        <v>2</v>
      </c>
      <c r="L83" s="25">
        <v>1</v>
      </c>
      <c r="M83" s="25">
        <v>0</v>
      </c>
      <c r="N83" s="25">
        <v>1</v>
      </c>
      <c r="O83" s="18">
        <f>K83+L83+M83+N83</f>
        <v>4</v>
      </c>
      <c r="P83" s="19">
        <f t="shared" si="8"/>
        <v>9</v>
      </c>
      <c r="Q83" s="19">
        <f>ROUND(PRODUCT(J83,25)/14,0)</f>
        <v>13</v>
      </c>
      <c r="R83" s="25" t="s">
        <v>31</v>
      </c>
      <c r="S83" s="25"/>
      <c r="T83" s="26"/>
      <c r="U83" s="11" t="s">
        <v>38</v>
      </c>
    </row>
    <row r="84" spans="1:21" x14ac:dyDescent="0.2">
      <c r="A84" s="52" t="s">
        <v>116</v>
      </c>
      <c r="B84" s="167" t="s">
        <v>117</v>
      </c>
      <c r="C84" s="168"/>
      <c r="D84" s="168"/>
      <c r="E84" s="168"/>
      <c r="F84" s="168"/>
      <c r="G84" s="168"/>
      <c r="H84" s="168"/>
      <c r="I84" s="169"/>
      <c r="J84" s="25">
        <v>7</v>
      </c>
      <c r="K84" s="25">
        <v>2</v>
      </c>
      <c r="L84" s="25">
        <v>1</v>
      </c>
      <c r="M84" s="25">
        <v>0</v>
      </c>
      <c r="N84" s="25">
        <v>1</v>
      </c>
      <c r="O84" s="18">
        <f>K84+L84+M84+N84</f>
        <v>4</v>
      </c>
      <c r="P84" s="19">
        <f t="shared" ref="P84:P85" si="10">Q84-O84</f>
        <v>9</v>
      </c>
      <c r="Q84" s="19">
        <f>ROUND(PRODUCT(J84,25)/14,0)</f>
        <v>13</v>
      </c>
      <c r="R84" s="25" t="s">
        <v>31</v>
      </c>
      <c r="S84" s="25"/>
      <c r="T84" s="26"/>
      <c r="U84" s="11" t="s">
        <v>38</v>
      </c>
    </row>
    <row r="85" spans="1:21" x14ac:dyDescent="0.2">
      <c r="A85" s="52" t="s">
        <v>118</v>
      </c>
      <c r="B85" s="167" t="s">
        <v>119</v>
      </c>
      <c r="C85" s="168"/>
      <c r="D85" s="168"/>
      <c r="E85" s="168"/>
      <c r="F85" s="168"/>
      <c r="G85" s="168"/>
      <c r="H85" s="168"/>
      <c r="I85" s="169"/>
      <c r="J85" s="25">
        <v>7</v>
      </c>
      <c r="K85" s="25">
        <v>2</v>
      </c>
      <c r="L85" s="25">
        <v>1</v>
      </c>
      <c r="M85" s="25">
        <v>0</v>
      </c>
      <c r="N85" s="25">
        <v>1</v>
      </c>
      <c r="O85" s="18">
        <f>K85+L85+M85+N85</f>
        <v>4</v>
      </c>
      <c r="P85" s="19">
        <f t="shared" si="10"/>
        <v>9</v>
      </c>
      <c r="Q85" s="19">
        <f>ROUND(PRODUCT(J85,25)/14,0)</f>
        <v>13</v>
      </c>
      <c r="R85" s="25" t="s">
        <v>31</v>
      </c>
      <c r="S85" s="25"/>
      <c r="T85" s="26"/>
      <c r="U85" s="11" t="s">
        <v>38</v>
      </c>
    </row>
    <row r="86" spans="1:21" x14ac:dyDescent="0.2">
      <c r="A86" s="170" t="s">
        <v>49</v>
      </c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7"/>
    </row>
    <row r="87" spans="1:21" x14ac:dyDescent="0.2">
      <c r="A87" s="52" t="s">
        <v>163</v>
      </c>
      <c r="B87" s="167" t="s">
        <v>177</v>
      </c>
      <c r="C87" s="168"/>
      <c r="D87" s="168"/>
      <c r="E87" s="168"/>
      <c r="F87" s="168"/>
      <c r="G87" s="168"/>
      <c r="H87" s="168"/>
      <c r="I87" s="169"/>
      <c r="J87" s="25">
        <v>7</v>
      </c>
      <c r="K87" s="25">
        <v>2</v>
      </c>
      <c r="L87" s="25">
        <v>1</v>
      </c>
      <c r="M87" s="25">
        <v>0</v>
      </c>
      <c r="N87" s="25">
        <v>1</v>
      </c>
      <c r="O87" s="18">
        <f>K87+L87+M87+N87</f>
        <v>4</v>
      </c>
      <c r="P87" s="19">
        <f t="shared" si="8"/>
        <v>9</v>
      </c>
      <c r="Q87" s="19">
        <f>ROUND(PRODUCT(J87,25)/14,0)</f>
        <v>13</v>
      </c>
      <c r="R87" s="25" t="s">
        <v>31</v>
      </c>
      <c r="S87" s="25"/>
      <c r="T87" s="26"/>
      <c r="U87" s="11" t="s">
        <v>38</v>
      </c>
    </row>
    <row r="88" spans="1:21" x14ac:dyDescent="0.2">
      <c r="A88" s="53" t="s">
        <v>176</v>
      </c>
      <c r="B88" s="72" t="s">
        <v>175</v>
      </c>
      <c r="C88" s="72"/>
      <c r="D88" s="72"/>
      <c r="E88" s="72"/>
      <c r="F88" s="72"/>
      <c r="G88" s="72"/>
      <c r="H88" s="72"/>
      <c r="I88" s="72"/>
      <c r="J88" s="25">
        <v>7</v>
      </c>
      <c r="K88" s="25">
        <v>2</v>
      </c>
      <c r="L88" s="25">
        <v>1</v>
      </c>
      <c r="M88" s="25">
        <v>0</v>
      </c>
      <c r="N88" s="25">
        <v>1</v>
      </c>
      <c r="O88" s="18">
        <f>K88+L88+M88+N88</f>
        <v>4</v>
      </c>
      <c r="P88" s="19">
        <f t="shared" ref="P88:P89" si="11">Q88-O88</f>
        <v>9</v>
      </c>
      <c r="Q88" s="19">
        <f>ROUND(PRODUCT(J88,25)/14,0)</f>
        <v>13</v>
      </c>
      <c r="R88" s="25" t="s">
        <v>31</v>
      </c>
      <c r="S88" s="25"/>
      <c r="T88" s="26"/>
      <c r="U88" s="11" t="s">
        <v>38</v>
      </c>
    </row>
    <row r="89" spans="1:21" x14ac:dyDescent="0.2">
      <c r="A89" s="31" t="s">
        <v>120</v>
      </c>
      <c r="B89" s="47" t="s">
        <v>121</v>
      </c>
      <c r="C89" s="55"/>
      <c r="D89" s="55"/>
      <c r="E89" s="55"/>
      <c r="F89" s="55"/>
      <c r="G89" s="55"/>
      <c r="H89" s="55"/>
      <c r="I89" s="56"/>
      <c r="J89" s="25">
        <v>7</v>
      </c>
      <c r="K89" s="25">
        <v>2</v>
      </c>
      <c r="L89" s="25">
        <v>1</v>
      </c>
      <c r="M89" s="25">
        <v>0</v>
      </c>
      <c r="N89" s="25">
        <v>1</v>
      </c>
      <c r="O89" s="18">
        <f>K89+L89+M89+N89</f>
        <v>4</v>
      </c>
      <c r="P89" s="19">
        <f t="shared" si="11"/>
        <v>9</v>
      </c>
      <c r="Q89" s="19">
        <f>ROUND(PRODUCT(J89,25)/14,0)</f>
        <v>13</v>
      </c>
      <c r="R89" s="25" t="s">
        <v>31</v>
      </c>
      <c r="S89" s="25"/>
      <c r="T89" s="26"/>
      <c r="U89" s="11" t="s">
        <v>38</v>
      </c>
    </row>
    <row r="90" spans="1:21" hidden="1" x14ac:dyDescent="0.2">
      <c r="A90" s="170" t="s">
        <v>50</v>
      </c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2"/>
    </row>
    <row r="91" spans="1:21" hidden="1" x14ac:dyDescent="0.2">
      <c r="A91" s="31"/>
      <c r="B91" s="124"/>
      <c r="C91" s="124"/>
      <c r="D91" s="124"/>
      <c r="E91" s="124"/>
      <c r="F91" s="124"/>
      <c r="G91" s="124"/>
      <c r="H91" s="124"/>
      <c r="I91" s="124"/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18">
        <f>K91+L91+M91+N91</f>
        <v>0</v>
      </c>
      <c r="P91" s="19">
        <f t="shared" ref="P91:P93" si="12">Q91-O91</f>
        <v>0</v>
      </c>
      <c r="Q91" s="19">
        <f>ROUND(PRODUCT(J91,25)/12,0)</f>
        <v>0</v>
      </c>
      <c r="R91" s="25"/>
      <c r="S91" s="25"/>
      <c r="T91" s="26"/>
      <c r="U91" s="11"/>
    </row>
    <row r="92" spans="1:21" hidden="1" x14ac:dyDescent="0.2">
      <c r="A92" s="31"/>
      <c r="B92" s="124"/>
      <c r="C92" s="124"/>
      <c r="D92" s="124"/>
      <c r="E92" s="124"/>
      <c r="F92" s="124"/>
      <c r="G92" s="124"/>
      <c r="H92" s="124"/>
      <c r="I92" s="124"/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18">
        <f>K92+L92+M92+N92</f>
        <v>0</v>
      </c>
      <c r="P92" s="19">
        <f t="shared" si="12"/>
        <v>0</v>
      </c>
      <c r="Q92" s="19">
        <f>ROUND(PRODUCT(J92,25)/12,0)</f>
        <v>0</v>
      </c>
      <c r="R92" s="25"/>
      <c r="S92" s="25"/>
      <c r="T92" s="26"/>
      <c r="U92" s="11"/>
    </row>
    <row r="93" spans="1:21" hidden="1" x14ac:dyDescent="0.2">
      <c r="A93" s="31"/>
      <c r="B93" s="124"/>
      <c r="C93" s="124"/>
      <c r="D93" s="124"/>
      <c r="E93" s="124"/>
      <c r="F93" s="124"/>
      <c r="G93" s="124"/>
      <c r="H93" s="124"/>
      <c r="I93" s="124"/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18">
        <f>K93+L93+M93+N93</f>
        <v>0</v>
      </c>
      <c r="P93" s="19">
        <f t="shared" si="12"/>
        <v>0</v>
      </c>
      <c r="Q93" s="19">
        <f>ROUND(PRODUCT(J93,25)/12,0)</f>
        <v>0</v>
      </c>
      <c r="R93" s="25"/>
      <c r="S93" s="25"/>
      <c r="T93" s="26"/>
      <c r="U93" s="11"/>
    </row>
    <row r="94" spans="1:21" ht="24.75" customHeight="1" x14ac:dyDescent="0.2">
      <c r="A94" s="158" t="s">
        <v>52</v>
      </c>
      <c r="B94" s="159"/>
      <c r="C94" s="159"/>
      <c r="D94" s="159"/>
      <c r="E94" s="159"/>
      <c r="F94" s="159"/>
      <c r="G94" s="159"/>
      <c r="H94" s="159"/>
      <c r="I94" s="160"/>
      <c r="J94" s="22">
        <f t="shared" ref="J94:Q94" si="13">SUM(J78,J83,J87,J91)</f>
        <v>21</v>
      </c>
      <c r="K94" s="22">
        <f t="shared" si="13"/>
        <v>6</v>
      </c>
      <c r="L94" s="22">
        <f t="shared" si="13"/>
        <v>3</v>
      </c>
      <c r="M94" s="22">
        <f t="shared" si="13"/>
        <v>0</v>
      </c>
      <c r="N94" s="22">
        <f t="shared" si="13"/>
        <v>3</v>
      </c>
      <c r="O94" s="22">
        <f t="shared" si="13"/>
        <v>12</v>
      </c>
      <c r="P94" s="22">
        <f t="shared" si="13"/>
        <v>27</v>
      </c>
      <c r="Q94" s="22">
        <f t="shared" si="13"/>
        <v>39</v>
      </c>
      <c r="R94" s="22">
        <f>COUNTIF(R78,"E")+COUNTIF(R83,"E")+COUNTIF(R87,"E")+COUNTIF(R91,"E")</f>
        <v>3</v>
      </c>
      <c r="S94" s="22">
        <f>COUNTIF(S78,"C")+COUNTIF(S83,"C")+COUNTIF(S87,"C")+COUNTIF(S91,"C")</f>
        <v>0</v>
      </c>
      <c r="T94" s="22">
        <f>COUNTIF(T78,"VP")+COUNTIF(T83,"VP")+COUNTIF(T87,"VP")+COUNTIF(T91,"VP")</f>
        <v>0</v>
      </c>
      <c r="U94" s="27"/>
    </row>
    <row r="95" spans="1:21" ht="13.5" customHeight="1" x14ac:dyDescent="0.2">
      <c r="A95" s="161" t="s">
        <v>53</v>
      </c>
      <c r="B95" s="162"/>
      <c r="C95" s="162"/>
      <c r="D95" s="162"/>
      <c r="E95" s="162"/>
      <c r="F95" s="162"/>
      <c r="G95" s="162"/>
      <c r="H95" s="162"/>
      <c r="I95" s="162"/>
      <c r="J95" s="163"/>
      <c r="K95" s="22">
        <f t="shared" ref="K95:Q95" si="14">SUM(K78,K83,K87)*14+K91*12</f>
        <v>84</v>
      </c>
      <c r="L95" s="22">
        <f t="shared" si="14"/>
        <v>42</v>
      </c>
      <c r="M95" s="22">
        <f t="shared" si="14"/>
        <v>0</v>
      </c>
      <c r="N95" s="22">
        <f t="shared" si="14"/>
        <v>42</v>
      </c>
      <c r="O95" s="22">
        <f t="shared" si="14"/>
        <v>168</v>
      </c>
      <c r="P95" s="22">
        <f t="shared" si="14"/>
        <v>378</v>
      </c>
      <c r="Q95" s="22">
        <f t="shared" si="14"/>
        <v>546</v>
      </c>
      <c r="R95" s="152"/>
      <c r="S95" s="153"/>
      <c r="T95" s="153"/>
      <c r="U95" s="154"/>
    </row>
    <row r="96" spans="1:21" x14ac:dyDescent="0.2">
      <c r="A96" s="164"/>
      <c r="B96" s="165"/>
      <c r="C96" s="165"/>
      <c r="D96" s="165"/>
      <c r="E96" s="165"/>
      <c r="F96" s="165"/>
      <c r="G96" s="165"/>
      <c r="H96" s="165"/>
      <c r="I96" s="165"/>
      <c r="J96" s="166"/>
      <c r="K96" s="125">
        <f>SUM(K95:N95)</f>
        <v>168</v>
      </c>
      <c r="L96" s="126"/>
      <c r="M96" s="126"/>
      <c r="N96" s="127"/>
      <c r="O96" s="128">
        <f>SUM(O95:P95)</f>
        <v>546</v>
      </c>
      <c r="P96" s="129"/>
      <c r="Q96" s="130"/>
      <c r="R96" s="155"/>
      <c r="S96" s="156"/>
      <c r="T96" s="156"/>
      <c r="U96" s="157"/>
    </row>
    <row r="97" spans="1:2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3"/>
      <c r="L97" s="13"/>
      <c r="M97" s="13"/>
      <c r="N97" s="13"/>
      <c r="O97" s="14"/>
      <c r="P97" s="14"/>
      <c r="Q97" s="14"/>
      <c r="R97" s="15"/>
      <c r="S97" s="15"/>
      <c r="T97" s="15"/>
      <c r="U97" s="15"/>
    </row>
    <row r="98" spans="1:21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3"/>
      <c r="L98" s="13"/>
      <c r="M98" s="13"/>
      <c r="N98" s="13"/>
      <c r="O98" s="14"/>
      <c r="P98" s="14"/>
      <c r="Q98" s="14"/>
      <c r="R98" s="15"/>
      <c r="S98" s="15"/>
      <c r="T98" s="15"/>
      <c r="U98" s="15"/>
    </row>
    <row r="99" spans="1:2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3"/>
      <c r="L99" s="13"/>
      <c r="M99" s="13"/>
      <c r="N99" s="13"/>
      <c r="O99" s="14"/>
      <c r="P99" s="14"/>
      <c r="Q99" s="14"/>
      <c r="R99" s="15"/>
      <c r="S99" s="15"/>
      <c r="T99" s="15"/>
      <c r="U99" s="15"/>
    </row>
    <row r="100" spans="1:2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3"/>
      <c r="L100" s="13"/>
      <c r="M100" s="13"/>
      <c r="N100" s="13"/>
      <c r="O100" s="14"/>
      <c r="P100" s="14"/>
      <c r="Q100" s="14"/>
      <c r="R100" s="15"/>
      <c r="S100" s="15"/>
      <c r="T100" s="15"/>
      <c r="U100" s="15"/>
    </row>
    <row r="101" spans="1:2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3"/>
      <c r="L101" s="13"/>
      <c r="M101" s="13"/>
      <c r="N101" s="13"/>
      <c r="O101" s="14"/>
      <c r="P101" s="14"/>
      <c r="Q101" s="14"/>
      <c r="R101" s="15"/>
      <c r="S101" s="15"/>
      <c r="T101" s="15"/>
      <c r="U101" s="15"/>
    </row>
    <row r="102" spans="1:21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3"/>
      <c r="L102" s="13"/>
      <c r="M102" s="13"/>
      <c r="N102" s="13"/>
      <c r="O102" s="14"/>
      <c r="P102" s="14"/>
      <c r="Q102" s="14"/>
      <c r="R102" s="15"/>
      <c r="S102" s="15"/>
      <c r="T102" s="15"/>
      <c r="U102" s="15"/>
    </row>
    <row r="103" spans="1:2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3"/>
      <c r="L103" s="13"/>
      <c r="M103" s="13"/>
      <c r="N103" s="13"/>
      <c r="O103" s="14"/>
      <c r="P103" s="14"/>
      <c r="Q103" s="14"/>
      <c r="R103" s="15"/>
      <c r="S103" s="15"/>
      <c r="T103" s="15"/>
      <c r="U103" s="15"/>
    </row>
    <row r="104" spans="1:21" ht="24" customHeight="1" x14ac:dyDescent="0.2">
      <c r="A104" s="121" t="s">
        <v>54</v>
      </c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</row>
    <row r="105" spans="1:21" ht="16.5" customHeight="1" x14ac:dyDescent="0.2">
      <c r="A105" s="83" t="s">
        <v>56</v>
      </c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5"/>
    </row>
    <row r="106" spans="1:21" ht="34.5" customHeight="1" x14ac:dyDescent="0.2">
      <c r="A106" s="179" t="s">
        <v>27</v>
      </c>
      <c r="B106" s="179" t="s">
        <v>26</v>
      </c>
      <c r="C106" s="179"/>
      <c r="D106" s="179"/>
      <c r="E106" s="179"/>
      <c r="F106" s="179"/>
      <c r="G106" s="179"/>
      <c r="H106" s="179"/>
      <c r="I106" s="179"/>
      <c r="J106" s="86" t="s">
        <v>40</v>
      </c>
      <c r="K106" s="86" t="s">
        <v>24</v>
      </c>
      <c r="L106" s="86"/>
      <c r="M106" s="86"/>
      <c r="N106" s="86"/>
      <c r="O106" s="86" t="s">
        <v>41</v>
      </c>
      <c r="P106" s="86"/>
      <c r="Q106" s="86"/>
      <c r="R106" s="86" t="s">
        <v>23</v>
      </c>
      <c r="S106" s="86"/>
      <c r="T106" s="86"/>
      <c r="U106" s="86" t="s">
        <v>22</v>
      </c>
    </row>
    <row r="107" spans="1:21" x14ac:dyDescent="0.2">
      <c r="A107" s="179"/>
      <c r="B107" s="179"/>
      <c r="C107" s="179"/>
      <c r="D107" s="179"/>
      <c r="E107" s="179"/>
      <c r="F107" s="179"/>
      <c r="G107" s="179"/>
      <c r="H107" s="179"/>
      <c r="I107" s="179"/>
      <c r="J107" s="86"/>
      <c r="K107" s="29" t="s">
        <v>28</v>
      </c>
      <c r="L107" s="29" t="s">
        <v>29</v>
      </c>
      <c r="M107" s="29" t="s">
        <v>122</v>
      </c>
      <c r="N107" s="29" t="s">
        <v>123</v>
      </c>
      <c r="O107" s="29" t="s">
        <v>33</v>
      </c>
      <c r="P107" s="29" t="s">
        <v>7</v>
      </c>
      <c r="Q107" s="29" t="s">
        <v>30</v>
      </c>
      <c r="R107" s="29" t="s">
        <v>31</v>
      </c>
      <c r="S107" s="29" t="s">
        <v>28</v>
      </c>
      <c r="T107" s="29" t="s">
        <v>32</v>
      </c>
      <c r="U107" s="86"/>
    </row>
    <row r="108" spans="1:21" ht="17.25" customHeight="1" x14ac:dyDescent="0.2">
      <c r="A108" s="83" t="s">
        <v>68</v>
      </c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5"/>
    </row>
    <row r="109" spans="1:21" x14ac:dyDescent="0.2">
      <c r="A109" s="32" t="str">
        <f>IF(ISNA(INDEX($A$36:$U$103,MATCH($B109,$B$36:$B$103,0),1)),"",INDEX($A$36:$U$103,MATCH($B109,$B$36:$B$103,0),1))</f>
        <v>MMG9001</v>
      </c>
      <c r="B109" s="72" t="s">
        <v>108</v>
      </c>
      <c r="C109" s="72"/>
      <c r="D109" s="72"/>
      <c r="E109" s="72"/>
      <c r="F109" s="72"/>
      <c r="G109" s="72"/>
      <c r="H109" s="72"/>
      <c r="I109" s="72"/>
      <c r="J109" s="19">
        <f>IF(ISNA(INDEX($A$36:$U$103,MATCH($B109,$B$36:$B$103,0),10)),"",INDEX($A$36:$U$103,MATCH($B109,$B$36:$B$103,0),10))</f>
        <v>4</v>
      </c>
      <c r="K109" s="19">
        <f>IF(ISNA(INDEX($A$36:$U$103,MATCH($B109,$B$36:$B$103,0),11)),"",INDEX($A$36:$U$103,MATCH($B109,$B$36:$B$103,0),11))</f>
        <v>2</v>
      </c>
      <c r="L109" s="19">
        <f>IF(ISNA(INDEX($A$36:$U$103,MATCH($B109,$B$36:$B$103,0),12)),"",INDEX($A$36:$U$103,MATCH($B109,$B$36:$B$103,0),12))</f>
        <v>1</v>
      </c>
      <c r="M109" s="19">
        <f>IF(ISNA(INDEX($A$36:$U$103,MATCH($B109,$B$36:$B$103,0),13)),"",INDEX($A$36:$U$103,MATCH($B109,$B$36:$B$103,0),13))</f>
        <v>0</v>
      </c>
      <c r="N109" s="19">
        <f>IF(ISNA(INDEX($A$36:$U$103,MATCH($B109,$B$36:$B$103,0),14)),"",INDEX($A$36:$U$103,MATCH($B109,$B$36:$B$103,0),14))</f>
        <v>1</v>
      </c>
      <c r="O109" s="19">
        <f>IF(ISNA(INDEX($A$36:$U$103,MATCH($B109,$B$36:$B$103,0),15)),"",INDEX($A$36:$U$103,MATCH($B109,$B$36:$B$103,0),15))</f>
        <v>4</v>
      </c>
      <c r="P109" s="19">
        <f>IF(ISNA(INDEX($A$36:$U$103,MATCH($B109,$B$36:$B$103,0),16)),"",INDEX($A$36:$U$103,MATCH($B109,$B$36:$B$103,0),16))</f>
        <v>3</v>
      </c>
      <c r="Q109" s="28">
        <f>IF(ISNA(INDEX($A$36:$U$103,MATCH($B109,$B$36:$B$103,0),17)),"",INDEX($A$36:$U$103,MATCH($B109,$B$36:$B$103,0),17))</f>
        <v>7</v>
      </c>
      <c r="R109" s="28">
        <f>IF(ISNA(INDEX($A$36:$U$103,MATCH($B109,$B$36:$B$103,0),18)),"",INDEX($A$36:$U$103,MATCH($B109,$B$36:$B$103,0),18))</f>
        <v>0</v>
      </c>
      <c r="S109" s="28"/>
      <c r="T109" s="28" t="str">
        <f>IF(ISNA(INDEX($A$36:$U$103,MATCH($B109,$B$36:$B$103,0),19)),"",INDEX($A$36:$U$103,MATCH($B109,$B$36:$B$103,0),19))</f>
        <v>C</v>
      </c>
      <c r="U109" s="18" t="s">
        <v>36</v>
      </c>
    </row>
    <row r="110" spans="1:21" x14ac:dyDescent="0.2">
      <c r="A110" s="32" t="str">
        <f>IF(ISNA(INDEX($A$36:$U$103,MATCH($B110,$B$36:$B$103,0),1)),"",INDEX($A$36:$U$103,MATCH($B110,$B$36:$B$103,0),1))</f>
        <v>MMG8156</v>
      </c>
      <c r="B110" s="77" t="s">
        <v>148</v>
      </c>
      <c r="C110" s="78"/>
      <c r="D110" s="78"/>
      <c r="E110" s="78"/>
      <c r="F110" s="78"/>
      <c r="G110" s="78"/>
      <c r="H110" s="78"/>
      <c r="I110" s="79"/>
      <c r="J110" s="19">
        <f>IF(ISNA(INDEX($A$36:$U$103,MATCH($B110,$B$36:$B$103,0),10)),"",INDEX($A$36:$U$103,MATCH($B110,$B$36:$B$103,0),10))</f>
        <v>8</v>
      </c>
      <c r="K110" s="19">
        <f>IF(ISNA(INDEX($A$36:$U$103,MATCH($B110,$B$36:$B$103,0),11)),"",INDEX($A$36:$U$103,MATCH($B110,$B$36:$B$103,0),11))</f>
        <v>2</v>
      </c>
      <c r="L110" s="19">
        <f>IF(ISNA(INDEX($A$36:$U$103,MATCH($B110,$B$36:$B$103,0),12)),"",INDEX($A$36:$U$103,MATCH($B110,$B$36:$B$103,0),12))</f>
        <v>1</v>
      </c>
      <c r="M110" s="19">
        <f>IF(ISNA(INDEX($A$36:$U$103,MATCH($B110,$B$36:$B$103,0),13)),"",INDEX($A$36:$U$103,MATCH($B110,$B$36:$B$103,0),13))</f>
        <v>0</v>
      </c>
      <c r="N110" s="19">
        <f>IF(ISNA(INDEX($A$36:$U$103,MATCH($B110,$B$36:$B$103,0),14)),"",INDEX($A$36:$U$103,MATCH($B110,$B$36:$B$103,0),14))</f>
        <v>1</v>
      </c>
      <c r="O110" s="19">
        <f>IF(ISNA(INDEX($A$36:$U$103,MATCH($B110,$B$36:$B$103,0),15)),"",INDEX($A$36:$U$103,MATCH($B110,$B$36:$B$103,0),15))</f>
        <v>4</v>
      </c>
      <c r="P110" s="19">
        <f>IF(ISNA(INDEX($A$36:$U$103,MATCH($B110,$B$36:$B$103,0),16)),"",INDEX($A$36:$U$103,MATCH($B110,$B$36:$B$103,0),16))</f>
        <v>10</v>
      </c>
      <c r="Q110" s="28">
        <f>IF(ISNA(INDEX($A$36:$U$103,MATCH($B110,$B$36:$B$103,0),17)),"",INDEX($A$36:$U$103,MATCH($B110,$B$36:$B$103,0),17))</f>
        <v>14</v>
      </c>
      <c r="R110" s="28" t="str">
        <f>IF(ISNA(INDEX($A$36:$U$103,MATCH($B110,$B$36:$B$103,0),18)),"",INDEX($A$36:$U$103,MATCH($B110,$B$36:$B$103,0),18))</f>
        <v>E</v>
      </c>
      <c r="S110" s="28"/>
      <c r="T110" s="28">
        <f>IF(ISNA(INDEX($A$36:$U$103,MATCH($B110,$B$36:$B$103,0),19)),"",INDEX($A$36:$U$103,MATCH($B110,$B$36:$B$103,0),19))</f>
        <v>0</v>
      </c>
      <c r="U110" s="18" t="s">
        <v>36</v>
      </c>
    </row>
    <row r="111" spans="1:21" x14ac:dyDescent="0.2">
      <c r="A111" s="32" t="str">
        <f>IF(ISNA(INDEX($A$36:$U$103,MATCH($B111,$B$36:$B$103,0),1)),"",INDEX($A$36:$U$103,MATCH($B111,$B$36:$B$103,0),1))</f>
        <v>MMG8157</v>
      </c>
      <c r="B111" s="80" t="s">
        <v>147</v>
      </c>
      <c r="C111" s="81"/>
      <c r="D111" s="81"/>
      <c r="E111" s="81"/>
      <c r="F111" s="81"/>
      <c r="G111" s="81"/>
      <c r="H111" s="81"/>
      <c r="I111" s="82"/>
      <c r="J111" s="19">
        <f>IF(ISNA(INDEX($A$36:$U$103,MATCH($B111,$B$36:$B$103,0),10)),"",INDEX($A$36:$U$103,MATCH($B111,$B$36:$B$103,0),10))</f>
        <v>8</v>
      </c>
      <c r="K111" s="19">
        <f>IF(ISNA(INDEX($A$36:$U$103,MATCH($B111,$B$36:$B$103,0),11)),"",INDEX($A$36:$U$103,MATCH($B111,$B$36:$B$103,0),11))</f>
        <v>2</v>
      </c>
      <c r="L111" s="19">
        <f>IF(ISNA(INDEX($A$36:$U$103,MATCH($B111,$B$36:$B$103,0),12)),"",INDEX($A$36:$U$103,MATCH($B111,$B$36:$B$103,0),12))</f>
        <v>1</v>
      </c>
      <c r="M111" s="19">
        <f>IF(ISNA(INDEX($A$36:$U$103,MATCH($B111,$B$36:$B$103,0),13)),"",INDEX($A$36:$U$103,MATCH($B111,$B$36:$B$103,0),13))</f>
        <v>0</v>
      </c>
      <c r="N111" s="19">
        <f>IF(ISNA(INDEX($A$36:$U$103,MATCH($B111,$B$36:$B$103,0),14)),"",INDEX($A$36:$U$103,MATCH($B111,$B$36:$B$103,0),14))</f>
        <v>1</v>
      </c>
      <c r="O111" s="19">
        <f>IF(ISNA(INDEX($A$36:$U$103,MATCH($B111,$B$36:$B$103,0),15)),"",INDEX($A$36:$U$103,MATCH($B111,$B$36:$B$103,0),15))</f>
        <v>4</v>
      </c>
      <c r="P111" s="19">
        <f>IF(ISNA(INDEX($A$36:$U$103,MATCH($B111,$B$36:$B$103,0),16)),"",INDEX($A$36:$U$103,MATCH($B111,$B$36:$B$103,0),16))</f>
        <v>9</v>
      </c>
      <c r="Q111" s="28">
        <f>IF(ISNA(INDEX($A$36:$U$103,MATCH($B111,$B$36:$B$103,0),17)),"",INDEX($A$36:$U$103,MATCH($B111,$B$36:$B$103,0),17))</f>
        <v>13</v>
      </c>
      <c r="R111" s="28" t="str">
        <f>IF(ISNA(INDEX($A$36:$U$103,MATCH($B111,$B$36:$B$103,0),18)),"",INDEX($A$36:$U$103,MATCH($B111,$B$36:$B$103,0),18))</f>
        <v>E</v>
      </c>
      <c r="S111" s="28"/>
      <c r="T111" s="28">
        <f>IF(ISNA(INDEX($A$36:$U$103,MATCH($B111,$B$36:$B$103,0),19)),"",INDEX($A$36:$U$103,MATCH($B111,$B$36:$B$103,0),19))</f>
        <v>0</v>
      </c>
      <c r="U111" s="18" t="s">
        <v>36</v>
      </c>
    </row>
    <row r="112" spans="1:21" x14ac:dyDescent="0.2">
      <c r="A112" s="32" t="str">
        <f>IF(ISNA(INDEX($A$36:$U$103,MATCH($B112,$B$36:$B$103,0),1)),"",INDEX($A$36:$U$103,MATCH($B112,$B$36:$B$103,0),1))</f>
        <v>MMX9701</v>
      </c>
      <c r="B112" s="72" t="s">
        <v>111</v>
      </c>
      <c r="C112" s="72"/>
      <c r="D112" s="72"/>
      <c r="E112" s="72"/>
      <c r="F112" s="72"/>
      <c r="G112" s="72"/>
      <c r="H112" s="72"/>
      <c r="I112" s="72"/>
      <c r="J112" s="19">
        <f>IF(ISNA(INDEX($A$36:$U$103,MATCH($B112,$B$36:$B$103,0),10)),"",INDEX($A$36:$U$103,MATCH($B112,$B$36:$B$103,0),10))</f>
        <v>7</v>
      </c>
      <c r="K112" s="19">
        <f>IF(ISNA(INDEX($A$36:$U$103,MATCH($B112,$B$36:$B$103,0),11)),"",INDEX($A$36:$U$103,MATCH($B112,$B$36:$B$103,0),11))</f>
        <v>2</v>
      </c>
      <c r="L112" s="19">
        <f>IF(ISNA(INDEX($A$36:$U$103,MATCH($B112,$B$36:$B$103,0),12)),"",INDEX($A$36:$U$103,MATCH($B112,$B$36:$B$103,0),12))</f>
        <v>1</v>
      </c>
      <c r="M112" s="19">
        <f>IF(ISNA(INDEX($A$36:$U$103,MATCH($B112,$B$36:$B$103,0),13)),"",INDEX($A$36:$U$103,MATCH($B112,$B$36:$B$103,0),13))</f>
        <v>0</v>
      </c>
      <c r="N112" s="19">
        <f>IF(ISNA(INDEX($A$36:$U$103,MATCH($B112,$B$36:$B$103,0),14)),"",INDEX($A$36:$U$103,MATCH($B112,$B$36:$B$103,0),14))</f>
        <v>1</v>
      </c>
      <c r="O112" s="19">
        <f>IF(ISNA(INDEX($A$36:$U$103,MATCH($B112,$B$36:$B$103,0),15)),"",INDEX($A$36:$U$103,MATCH($B112,$B$36:$B$103,0),15))</f>
        <v>4</v>
      </c>
      <c r="P112" s="19">
        <f>IF(ISNA(INDEX($A$36:$U$103,MATCH($B112,$B$36:$B$103,0),16)),"",INDEX($A$36:$U$103,MATCH($B112,$B$36:$B$103,0),16))</f>
        <v>9</v>
      </c>
      <c r="Q112" s="28">
        <f>IF(ISNA(INDEX($A$36:$U$103,MATCH($B112,$B$36:$B$103,0),17)),"",INDEX($A$36:$U$103,MATCH($B112,$B$36:$B$103,0),17))</f>
        <v>13</v>
      </c>
      <c r="R112" s="28" t="str">
        <f>IF(ISNA(INDEX($A$36:$U$103,MATCH($B112,$B$36:$B$103,0),18)),"",INDEX($A$36:$U$103,MATCH($B112,$B$36:$B$103,0),18))</f>
        <v>E</v>
      </c>
      <c r="S112" s="28"/>
      <c r="T112" s="28">
        <f>IF(ISNA(INDEX($A$36:$U$103,MATCH($B112,$B$36:$B$103,0),19)),"",INDEX($A$36:$U$103,MATCH($B112,$B$36:$B$103,0),19))</f>
        <v>0</v>
      </c>
      <c r="U112" s="18" t="s">
        <v>36</v>
      </c>
    </row>
    <row r="113" spans="1:21" x14ac:dyDescent="0.2">
      <c r="A113" s="32" t="str">
        <f>IF(ISNA(INDEX($A$36:$U$103,MATCH($B113,$B$36:$B$103,0),1)),"",INDEX($A$36:$U$103,MATCH($B113,$B$36:$B$103,0),1))</f>
        <v>MMG8143</v>
      </c>
      <c r="B113" s="87" t="s">
        <v>138</v>
      </c>
      <c r="C113" s="87"/>
      <c r="D113" s="87"/>
      <c r="E113" s="87"/>
      <c r="F113" s="87"/>
      <c r="G113" s="87"/>
      <c r="H113" s="87"/>
      <c r="I113" s="88"/>
      <c r="J113" s="19">
        <f>IF(ISNA(INDEX($A$36:$U$103,MATCH($B113,$B$36:$B$103,0),10)),"",INDEX($A$36:$U$103,MATCH($B113,$B$36:$B$103,0),10))</f>
        <v>7</v>
      </c>
      <c r="K113" s="19">
        <f>IF(ISNA(INDEX($A$36:$U$103,MATCH($B113,$B$36:$B$103,0),11)),"",INDEX($A$36:$U$103,MATCH($B113,$B$36:$B$103,0),11))</f>
        <v>2</v>
      </c>
      <c r="L113" s="19">
        <f>IF(ISNA(INDEX($A$36:$U$103,MATCH($B113,$B$36:$B$103,0),12)),"",INDEX($A$36:$U$103,MATCH($B113,$B$36:$B$103,0),12))</f>
        <v>1</v>
      </c>
      <c r="M113" s="19">
        <f>IF(ISNA(INDEX($A$36:$U$103,MATCH($B113,$B$36:$B$103,0),13)),"",INDEX($A$36:$U$103,MATCH($B113,$B$36:$B$103,0),13))</f>
        <v>0</v>
      </c>
      <c r="N113" s="19">
        <f>IF(ISNA(INDEX($A$36:$U$103,MATCH($B113,$B$36:$B$103,0),14)),"",INDEX($A$36:$U$103,MATCH($B113,$B$36:$B$103,0),14))</f>
        <v>1</v>
      </c>
      <c r="O113" s="19">
        <f>IF(ISNA(INDEX($A$36:$U$103,MATCH($B113,$B$36:$B$103,0),15)),"",INDEX($A$36:$U$103,MATCH($B113,$B$36:$B$103,0),15))</f>
        <v>4</v>
      </c>
      <c r="P113" s="19">
        <f>IF(ISNA(INDEX($A$36:$U$103,MATCH($B113,$B$36:$B$103,0),16)),"",INDEX($A$36:$U$103,MATCH($B113,$B$36:$B$103,0),16))</f>
        <v>9</v>
      </c>
      <c r="Q113" s="28">
        <f>IF(ISNA(INDEX($A$36:$U$103,MATCH($B113,$B$36:$B$103,0),17)),"",INDEX($A$36:$U$103,MATCH($B113,$B$36:$B$103,0),17))</f>
        <v>13</v>
      </c>
      <c r="R113" s="28" t="str">
        <f>IF(ISNA(INDEX($A$36:$U$103,MATCH($B113,$B$36:$B$103,0),18)),"",INDEX($A$36:$U$103,MATCH($B113,$B$36:$B$103,0),18))</f>
        <v>E</v>
      </c>
      <c r="S113" s="28"/>
      <c r="T113" s="28">
        <f>IF(ISNA(INDEX($A$36:$U$103,MATCH($B113,$B$36:$B$103,0),19)),"",INDEX($A$36:$U$103,MATCH($B113,$B$36:$B$103,0),19))</f>
        <v>0</v>
      </c>
      <c r="U113" s="18" t="s">
        <v>36</v>
      </c>
    </row>
    <row r="114" spans="1:21" x14ac:dyDescent="0.2">
      <c r="A114" s="32" t="str">
        <f>IF(ISNA(INDEX($A$36:$U$103,MATCH($B114,$B$36:$B$103,0),1)),"",INDEX($A$36:$U$103,MATCH($B114,$B$36:$B$103,0),1))</f>
        <v>MMG8065</v>
      </c>
      <c r="B114" s="77" t="s">
        <v>133</v>
      </c>
      <c r="C114" s="78"/>
      <c r="D114" s="78"/>
      <c r="E114" s="78"/>
      <c r="F114" s="78"/>
      <c r="G114" s="78"/>
      <c r="H114" s="78"/>
      <c r="I114" s="79"/>
      <c r="J114" s="19">
        <f>IF(ISNA(INDEX($A$36:$U$103,MATCH($B114,$B$36:$B$103,0),10)),"",INDEX($A$36:$U$103,MATCH($B114,$B$36:$B$103,0),10))</f>
        <v>7</v>
      </c>
      <c r="K114" s="19">
        <f>IF(ISNA(INDEX($A$36:$U$103,MATCH($B114,$B$36:$B$103,0),11)),"",INDEX($A$36:$U$103,MATCH($B114,$B$36:$B$103,0),11))</f>
        <v>2</v>
      </c>
      <c r="L114" s="19">
        <f>IF(ISNA(INDEX($A$36:$U$103,MATCH($B114,$B$36:$B$103,0),12)),"",INDEX($A$36:$U$103,MATCH($B114,$B$36:$B$103,0),12))</f>
        <v>1</v>
      </c>
      <c r="M114" s="19">
        <f>IF(ISNA(INDEX($A$36:$U$103,MATCH($B114,$B$36:$B$103,0),13)),"",INDEX($A$36:$U$103,MATCH($B114,$B$36:$B$103,0),13))</f>
        <v>0</v>
      </c>
      <c r="N114" s="19">
        <f>IF(ISNA(INDEX($A$36:$U$103,MATCH($B114,$B$36:$B$103,0),14)),"",INDEX($A$36:$U$103,MATCH($B114,$B$36:$B$103,0),14))</f>
        <v>1</v>
      </c>
      <c r="O114" s="19">
        <f>IF(ISNA(INDEX($A$36:$U$103,MATCH($B114,$B$36:$B$103,0),15)),"",INDEX($A$36:$U$103,MATCH($B114,$B$36:$B$103,0),15))</f>
        <v>4</v>
      </c>
      <c r="P114" s="19">
        <f>IF(ISNA(INDEX($A$36:$U$103,MATCH($B114,$B$36:$B$103,0),16)),"",INDEX($A$36:$U$103,MATCH($B114,$B$36:$B$103,0),16))</f>
        <v>9</v>
      </c>
      <c r="Q114" s="28">
        <f>IF(ISNA(INDEX($A$36:$U$103,MATCH($B114,$B$36:$B$103,0),17)),"",INDEX($A$36:$U$103,MATCH($B114,$B$36:$B$103,0),17))</f>
        <v>13</v>
      </c>
      <c r="R114" s="28" t="str">
        <f>IF(ISNA(INDEX($A$36:$U$103,MATCH($B114,$B$36:$B$103,0),18)),"",INDEX($A$36:$U$103,MATCH($B114,$B$36:$B$103,0),18))</f>
        <v>E</v>
      </c>
      <c r="S114" s="28"/>
      <c r="T114" s="28">
        <f>IF(ISNA(INDEX($A$36:$U$103,MATCH($B114,$B$36:$B$103,0),19)),"",INDEX($A$36:$U$103,MATCH($B114,$B$36:$B$103,0),19))</f>
        <v>0</v>
      </c>
      <c r="U114" s="18" t="s">
        <v>36</v>
      </c>
    </row>
    <row r="115" spans="1:21" x14ac:dyDescent="0.2">
      <c r="A115" s="32" t="str">
        <f>IF(ISNA(INDEX($A$36:$U$103,MATCH($B115,$B$36:$B$103,0),1)),"",INDEX($A$36:$U$103,MATCH($B115,$B$36:$B$103,0),1))</f>
        <v>MMG8154</v>
      </c>
      <c r="B115" s="77" t="s">
        <v>134</v>
      </c>
      <c r="C115" s="78"/>
      <c r="D115" s="78"/>
      <c r="E115" s="78"/>
      <c r="F115" s="78"/>
      <c r="G115" s="78"/>
      <c r="H115" s="78"/>
      <c r="I115" s="79"/>
      <c r="J115" s="19">
        <f>IF(ISNA(INDEX($A$36:$U$103,MATCH($B115,$B$36:$B$103,0),10)),"",INDEX($A$36:$U$103,MATCH($B115,$B$36:$B$103,0),10))</f>
        <v>6</v>
      </c>
      <c r="K115" s="19">
        <f>IF(ISNA(INDEX($A$36:$U$103,MATCH($B115,$B$36:$B$103,0),11)),"",INDEX($A$36:$U$103,MATCH($B115,$B$36:$B$103,0),11))</f>
        <v>2</v>
      </c>
      <c r="L115" s="19">
        <f>IF(ISNA(INDEX($A$36:$U$103,MATCH($B115,$B$36:$B$103,0),12)),"",INDEX($A$36:$U$103,MATCH($B115,$B$36:$B$103,0),12))</f>
        <v>1</v>
      </c>
      <c r="M115" s="19">
        <f>IF(ISNA(INDEX($A$36:$U$103,MATCH($B115,$B$36:$B$103,0),12)),"",INDEX($A$36:$U$103,MATCH($B115,$B$36:$B$103,0),12))</f>
        <v>1</v>
      </c>
      <c r="N115" s="19">
        <f>IF(ISNA(INDEX($A$36:$U$103,MATCH($B115,$B$36:$B$103,0),13)),"",INDEX($A$36:$U$103,MATCH($B115,$B$36:$B$103,0),13))</f>
        <v>0</v>
      </c>
      <c r="O115" s="19">
        <f>IF(ISNA(INDEX($A$36:$U$103,MATCH($B115,$B$36:$B$103,0),14)),"",INDEX($A$36:$U$103,MATCH($B115,$B$36:$B$103,0),14))</f>
        <v>1</v>
      </c>
      <c r="P115" s="19">
        <f>IF(ISNA(INDEX($A$36:$U$103,MATCH($B115,$B$36:$B$103,0),15)),"",INDEX($A$36:$U$103,MATCH($B115,$B$36:$B$103,0),15))</f>
        <v>4</v>
      </c>
      <c r="Q115" s="19">
        <f>IF(ISNA(INDEX($A$36:$U$103,MATCH($B115,$B$36:$B$103,0),16)),"",INDEX($A$36:$U$103,MATCH($B115,$B$36:$B$103,0),16))</f>
        <v>7</v>
      </c>
      <c r="R115" s="28">
        <f>IF(ISNA(INDEX($A$36:$U$103,MATCH($B115,$B$36:$B$103,0),17)),"",INDEX($A$36:$U$103,MATCH($B115,$B$36:$B$103,0),17))</f>
        <v>11</v>
      </c>
      <c r="S115" s="28" t="str">
        <f>IF(ISNA(INDEX($A$36:$U$103,MATCH($B115,$B$36:$B$103,0),18)),"",INDEX($A$36:$U$103,MATCH($B115,$B$36:$B$103,0),18))</f>
        <v>E</v>
      </c>
      <c r="T115" s="28">
        <f>IF(ISNA(INDEX($A$36:$U$103,MATCH($B115,$B$36:$B$103,0),19)),"",INDEX($A$36:$U$103,MATCH($B115,$B$36:$B$103,0),19))</f>
        <v>0</v>
      </c>
      <c r="U115" s="18" t="s">
        <v>36</v>
      </c>
    </row>
    <row r="116" spans="1:21" x14ac:dyDescent="0.2">
      <c r="A116" s="20" t="s">
        <v>25</v>
      </c>
      <c r="B116" s="89"/>
      <c r="C116" s="90"/>
      <c r="D116" s="90"/>
      <c r="E116" s="90"/>
      <c r="F116" s="90"/>
      <c r="G116" s="90"/>
      <c r="H116" s="90"/>
      <c r="I116" s="91"/>
      <c r="J116" s="22">
        <f>IF(ISNA(SUM(J109:J115)),"",SUM(J109:J115))</f>
        <v>47</v>
      </c>
      <c r="K116" s="22">
        <f>SUM(K109:K115)</f>
        <v>14</v>
      </c>
      <c r="L116" s="22">
        <f>SUM(L115:L115)</f>
        <v>1</v>
      </c>
      <c r="M116" s="22">
        <f>SUM(M109:M115)</f>
        <v>1</v>
      </c>
      <c r="N116" s="22">
        <f>SUM(N109:N115)</f>
        <v>6</v>
      </c>
      <c r="O116" s="22">
        <f>SUM(O109:O115)</f>
        <v>25</v>
      </c>
      <c r="P116" s="22">
        <f>SUM(P109:P115)</f>
        <v>53</v>
      </c>
      <c r="Q116" s="22">
        <f>SUM(Q109:Q115)</f>
        <v>80</v>
      </c>
      <c r="R116" s="20">
        <f>COUNTIF(R109:R115,"E")</f>
        <v>5</v>
      </c>
      <c r="S116" s="20">
        <f>COUNTIF(S109:S115,"C")</f>
        <v>0</v>
      </c>
      <c r="T116" s="20">
        <f>COUNTIF(T109:T115,"VP")</f>
        <v>0</v>
      </c>
      <c r="U116" s="18"/>
    </row>
    <row r="117" spans="1:21" ht="17.25" customHeight="1" x14ac:dyDescent="0.2">
      <c r="A117" s="83" t="s">
        <v>69</v>
      </c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5"/>
    </row>
    <row r="118" spans="1:21" x14ac:dyDescent="0.2">
      <c r="A118" s="32" t="str">
        <f>IF(ISNA(INDEX($A$36:$U$103,MATCH($B118,$B$36:$B$103,0),1)),"",INDEX($A$36:$U$103,MATCH($B118,$B$36:$B$103,0),1))</f>
        <v/>
      </c>
      <c r="B118" s="72"/>
      <c r="C118" s="72"/>
      <c r="D118" s="72"/>
      <c r="E118" s="72"/>
      <c r="F118" s="72"/>
      <c r="G118" s="72"/>
      <c r="H118" s="72"/>
      <c r="I118" s="72"/>
      <c r="J118" s="19" t="str">
        <f>IF(ISNA(INDEX($A$36:$U$103,MATCH($B118,$B$36:$B$103,0),10)),"",INDEX($A$36:$U$103,MATCH($B118,$B$36:$B$103,0),10))</f>
        <v/>
      </c>
      <c r="K118" s="19" t="str">
        <f>IF(ISNA(INDEX($A$36:$U$103,MATCH($B118,$B$36:$B$103,0),11)),"",INDEX($A$36:$U$103,MATCH($B118,$B$36:$B$103,0),11))</f>
        <v/>
      </c>
      <c r="L118" s="19" t="str">
        <f>IF(ISNA(INDEX($A$36:$U$103,MATCH($B118,$B$36:$B$103,0),12)),"",INDEX($A$36:$U$103,MATCH($B118,$B$36:$B$103,0),12))</f>
        <v/>
      </c>
      <c r="M118" s="19" t="str">
        <f>IF(ISNA(INDEX($A$36:$U$103,MATCH($B118,$B$36:$B$103,0),12)),"",INDEX($A$36:$U$103,MATCH($B118,$B$36:$B$103,0),12))</f>
        <v/>
      </c>
      <c r="N118" s="19" t="str">
        <f>IF(ISNA(INDEX($A$36:$U$103,MATCH($B118,$B$36:$B$103,0),13)),"",INDEX($A$36:$U$103,MATCH($B118,$B$36:$B$103,0),13))</f>
        <v/>
      </c>
      <c r="O118" s="19" t="str">
        <f>IF(ISNA(INDEX($A$36:$U$103,MATCH($B118,$B$36:$B$103,0),14)),"",INDEX($A$36:$U$103,MATCH($B118,$B$36:$B$103,0),14))</f>
        <v/>
      </c>
      <c r="P118" s="19" t="str">
        <f>IF(ISNA(INDEX($A$36:$U$103,MATCH($B118,$B$36:$B$103,0),15)),"",INDEX($A$36:$U$103,MATCH($B118,$B$36:$B$103,0),15))</f>
        <v/>
      </c>
      <c r="Q118" s="19" t="str">
        <f>IF(ISNA(INDEX($A$36:$U$103,MATCH($B118,$B$36:$B$103,0),16)),"",INDEX($A$36:$U$103,MATCH($B118,$B$36:$B$103,0),16))</f>
        <v/>
      </c>
      <c r="R118" s="28" t="str">
        <f>IF(ISNA(INDEX($A$36:$U$103,MATCH($B118,$B$36:$B$103,0),17)),"",INDEX($A$36:$U$103,MATCH($B118,$B$36:$B$103,0),17))</f>
        <v/>
      </c>
      <c r="S118" s="28" t="str">
        <f>IF(ISNA(INDEX($A$36:$U$103,MATCH($B118,$B$36:$B$103,0),18)),"",INDEX($A$36:$U$103,MATCH($B118,$B$36:$B$103,0),18))</f>
        <v/>
      </c>
      <c r="T118" s="28" t="str">
        <f>IF(ISNA(INDEX($A$36:$U$103,MATCH($B118,$B$36:$B$103,0),19)),"",INDEX($A$36:$U$103,MATCH($B118,$B$36:$B$103,0),19))</f>
        <v/>
      </c>
      <c r="U118" s="18" t="s">
        <v>36</v>
      </c>
    </row>
    <row r="119" spans="1:21" x14ac:dyDescent="0.2">
      <c r="A119" s="32" t="str">
        <f>IF(ISNA(INDEX($A$36:$U$103,MATCH($B119,$B$36:$B$103,0),1)),"",INDEX($A$36:$U$103,MATCH($B119,$B$36:$B$103,0),1))</f>
        <v/>
      </c>
      <c r="B119" s="72"/>
      <c r="C119" s="72"/>
      <c r="D119" s="72"/>
      <c r="E119" s="72"/>
      <c r="F119" s="72"/>
      <c r="G119" s="72"/>
      <c r="H119" s="72"/>
      <c r="I119" s="72"/>
      <c r="J119" s="19" t="str">
        <f>IF(ISNA(INDEX($A$36:$U$103,MATCH($B119,$B$36:$B$103,0),10)),"",INDEX($A$36:$U$103,MATCH($B119,$B$36:$B$103,0),10))</f>
        <v/>
      </c>
      <c r="K119" s="19" t="str">
        <f>IF(ISNA(INDEX($A$36:$U$103,MATCH($B119,$B$36:$B$103,0),11)),"",INDEX($A$36:$U$103,MATCH($B119,$B$36:$B$103,0),11))</f>
        <v/>
      </c>
      <c r="L119" s="19" t="str">
        <f>IF(ISNA(INDEX($A$36:$U$103,MATCH($B119,$B$36:$B$103,0),12)),"",INDEX($A$36:$U$103,MATCH($B119,$B$36:$B$103,0),12))</f>
        <v/>
      </c>
      <c r="M119" s="19" t="str">
        <f>IF(ISNA(INDEX($A$36:$U$103,MATCH($B119,$B$36:$B$103,0),12)),"",INDEX($A$36:$U$103,MATCH($B119,$B$36:$B$103,0),12))</f>
        <v/>
      </c>
      <c r="N119" s="19" t="str">
        <f>IF(ISNA(INDEX($A$36:$U$103,MATCH($B119,$B$36:$B$103,0),13)),"",INDEX($A$36:$U$103,MATCH($B119,$B$36:$B$103,0),13))</f>
        <v/>
      </c>
      <c r="O119" s="19" t="str">
        <f>IF(ISNA(INDEX($A$36:$U$103,MATCH($B119,$B$36:$B$103,0),14)),"",INDEX($A$36:$U$103,MATCH($B119,$B$36:$B$103,0),14))</f>
        <v/>
      </c>
      <c r="P119" s="19" t="str">
        <f>IF(ISNA(INDEX($A$36:$U$103,MATCH($B119,$B$36:$B$103,0),15)),"",INDEX($A$36:$U$103,MATCH($B119,$B$36:$B$103,0),15))</f>
        <v/>
      </c>
      <c r="Q119" s="19" t="str">
        <f>IF(ISNA(INDEX($A$36:$U$103,MATCH($B119,$B$36:$B$103,0),16)),"",INDEX($A$36:$U$103,MATCH($B119,$B$36:$B$103,0),16))</f>
        <v/>
      </c>
      <c r="R119" s="28" t="str">
        <f>IF(ISNA(INDEX($A$36:$U$103,MATCH($B119,$B$36:$B$103,0),17)),"",INDEX($A$36:$U$103,MATCH($B119,$B$36:$B$103,0),17))</f>
        <v/>
      </c>
      <c r="S119" s="28" t="str">
        <f>IF(ISNA(INDEX($A$36:$U$103,MATCH($B119,$B$36:$B$103,0),18)),"",INDEX($A$36:$U$103,MATCH($B119,$B$36:$B$103,0),18))</f>
        <v/>
      </c>
      <c r="T119" s="28" t="str">
        <f>IF(ISNA(INDEX($A$36:$U$103,MATCH($B119,$B$36:$B$103,0),19)),"",INDEX($A$36:$U$103,MATCH($B119,$B$36:$B$103,0),19))</f>
        <v/>
      </c>
      <c r="U119" s="18" t="s">
        <v>36</v>
      </c>
    </row>
    <row r="120" spans="1:21" x14ac:dyDescent="0.2">
      <c r="A120" s="20" t="s">
        <v>25</v>
      </c>
      <c r="B120" s="179"/>
      <c r="C120" s="179"/>
      <c r="D120" s="179"/>
      <c r="E120" s="179"/>
      <c r="F120" s="179"/>
      <c r="G120" s="179"/>
      <c r="H120" s="179"/>
      <c r="I120" s="179"/>
      <c r="J120" s="22">
        <f t="shared" ref="J120:Q120" si="15">SUM(J118:J119)</f>
        <v>0</v>
      </c>
      <c r="K120" s="22">
        <f t="shared" si="15"/>
        <v>0</v>
      </c>
      <c r="L120" s="22">
        <f t="shared" si="15"/>
        <v>0</v>
      </c>
      <c r="M120" s="22">
        <f t="shared" si="15"/>
        <v>0</v>
      </c>
      <c r="N120" s="22">
        <f t="shared" si="15"/>
        <v>0</v>
      </c>
      <c r="O120" s="22">
        <f t="shared" si="15"/>
        <v>0</v>
      </c>
      <c r="P120" s="22">
        <f t="shared" si="15"/>
        <v>0</v>
      </c>
      <c r="Q120" s="22">
        <f t="shared" si="15"/>
        <v>0</v>
      </c>
      <c r="R120" s="20">
        <f>COUNTIF(R118:R119,"E")</f>
        <v>0</v>
      </c>
      <c r="S120" s="20">
        <f>COUNTIF(S118:S119,"C")</f>
        <v>0</v>
      </c>
      <c r="T120" s="20">
        <f>COUNTIF(T118:T119,"VP")</f>
        <v>0</v>
      </c>
      <c r="U120" s="21"/>
    </row>
    <row r="121" spans="1:21" ht="27" customHeight="1" x14ac:dyDescent="0.2">
      <c r="A121" s="158" t="s">
        <v>52</v>
      </c>
      <c r="B121" s="159"/>
      <c r="C121" s="159"/>
      <c r="D121" s="159"/>
      <c r="E121" s="159"/>
      <c r="F121" s="159"/>
      <c r="G121" s="159"/>
      <c r="H121" s="159"/>
      <c r="I121" s="160"/>
      <c r="J121" s="22">
        <f t="shared" ref="J121:T121" si="16">SUM(J116,J120)</f>
        <v>47</v>
      </c>
      <c r="K121" s="22">
        <f t="shared" si="16"/>
        <v>14</v>
      </c>
      <c r="L121" s="22">
        <f t="shared" si="16"/>
        <v>1</v>
      </c>
      <c r="M121" s="22">
        <f t="shared" si="16"/>
        <v>1</v>
      </c>
      <c r="N121" s="22">
        <f t="shared" si="16"/>
        <v>6</v>
      </c>
      <c r="O121" s="22">
        <f t="shared" si="16"/>
        <v>25</v>
      </c>
      <c r="P121" s="22">
        <f t="shared" si="16"/>
        <v>53</v>
      </c>
      <c r="Q121" s="22">
        <f t="shared" si="16"/>
        <v>80</v>
      </c>
      <c r="R121" s="22">
        <f t="shared" si="16"/>
        <v>5</v>
      </c>
      <c r="S121" s="22">
        <f t="shared" si="16"/>
        <v>0</v>
      </c>
      <c r="T121" s="22">
        <f t="shared" si="16"/>
        <v>0</v>
      </c>
      <c r="U121" s="60">
        <v>0.38890000000000002</v>
      </c>
    </row>
    <row r="122" spans="1:21" x14ac:dyDescent="0.2">
      <c r="A122" s="161" t="s">
        <v>53</v>
      </c>
      <c r="B122" s="162"/>
      <c r="C122" s="162"/>
      <c r="D122" s="162"/>
      <c r="E122" s="162"/>
      <c r="F122" s="162"/>
      <c r="G122" s="162"/>
      <c r="H122" s="162"/>
      <c r="I122" s="162"/>
      <c r="J122" s="163"/>
      <c r="K122" s="22">
        <f t="shared" ref="K122:Q122" si="17">K116*14+K120*12</f>
        <v>196</v>
      </c>
      <c r="L122" s="22">
        <f t="shared" si="17"/>
        <v>14</v>
      </c>
      <c r="M122" s="22">
        <f t="shared" si="17"/>
        <v>14</v>
      </c>
      <c r="N122" s="22">
        <f t="shared" si="17"/>
        <v>84</v>
      </c>
      <c r="O122" s="22">
        <f t="shared" si="17"/>
        <v>350</v>
      </c>
      <c r="P122" s="22">
        <f t="shared" si="17"/>
        <v>742</v>
      </c>
      <c r="Q122" s="22">
        <f t="shared" si="17"/>
        <v>1120</v>
      </c>
      <c r="R122" s="152"/>
      <c r="S122" s="153"/>
      <c r="T122" s="153"/>
      <c r="U122" s="154"/>
    </row>
    <row r="123" spans="1:21" x14ac:dyDescent="0.2">
      <c r="A123" s="164"/>
      <c r="B123" s="165"/>
      <c r="C123" s="165"/>
      <c r="D123" s="165"/>
      <c r="E123" s="165"/>
      <c r="F123" s="165"/>
      <c r="G123" s="165"/>
      <c r="H123" s="165"/>
      <c r="I123" s="165"/>
      <c r="J123" s="166"/>
      <c r="K123" s="125">
        <f>SUM(K122:N122)</f>
        <v>308</v>
      </c>
      <c r="L123" s="126"/>
      <c r="M123" s="126"/>
      <c r="N123" s="127"/>
      <c r="O123" s="128">
        <f>SUM(O122:P122)</f>
        <v>1092</v>
      </c>
      <c r="P123" s="129"/>
      <c r="Q123" s="130"/>
      <c r="R123" s="155"/>
      <c r="S123" s="156"/>
      <c r="T123" s="156"/>
      <c r="U123" s="157"/>
    </row>
    <row r="125" spans="1:21" x14ac:dyDescent="0.2">
      <c r="B125" s="8"/>
      <c r="C125" s="8"/>
      <c r="D125" s="8"/>
      <c r="E125" s="8"/>
      <c r="F125" s="8"/>
      <c r="G125" s="8"/>
      <c r="H125" s="16"/>
      <c r="I125" s="16"/>
      <c r="J125" s="16"/>
      <c r="N125" s="8"/>
      <c r="O125" s="8"/>
      <c r="P125" s="8"/>
      <c r="Q125" s="8"/>
      <c r="R125" s="8"/>
      <c r="S125" s="8"/>
      <c r="T125" s="8"/>
    </row>
    <row r="126" spans="1:21" ht="23.25" customHeight="1" x14ac:dyDescent="0.2">
      <c r="A126" s="179" t="s">
        <v>73</v>
      </c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</row>
    <row r="127" spans="1:21" ht="26.25" customHeight="1" x14ac:dyDescent="0.2">
      <c r="A127" s="179" t="s">
        <v>27</v>
      </c>
      <c r="B127" s="179" t="s">
        <v>26</v>
      </c>
      <c r="C127" s="179"/>
      <c r="D127" s="179"/>
      <c r="E127" s="179"/>
      <c r="F127" s="179"/>
      <c r="G127" s="179"/>
      <c r="H127" s="179"/>
      <c r="I127" s="179"/>
      <c r="J127" s="86" t="s">
        <v>40</v>
      </c>
      <c r="K127" s="86" t="s">
        <v>24</v>
      </c>
      <c r="L127" s="86"/>
      <c r="M127" s="86"/>
      <c r="N127" s="86"/>
      <c r="O127" s="86" t="s">
        <v>41</v>
      </c>
      <c r="P127" s="86"/>
      <c r="Q127" s="86"/>
      <c r="R127" s="86" t="s">
        <v>23</v>
      </c>
      <c r="S127" s="86"/>
      <c r="T127" s="86"/>
      <c r="U127" s="86" t="s">
        <v>22</v>
      </c>
    </row>
    <row r="128" spans="1:21" x14ac:dyDescent="0.2">
      <c r="A128" s="179"/>
      <c r="B128" s="179"/>
      <c r="C128" s="179"/>
      <c r="D128" s="179"/>
      <c r="E128" s="179"/>
      <c r="F128" s="179"/>
      <c r="G128" s="179"/>
      <c r="H128" s="179"/>
      <c r="I128" s="179"/>
      <c r="J128" s="86"/>
      <c r="K128" s="29" t="s">
        <v>28</v>
      </c>
      <c r="L128" s="29" t="s">
        <v>29</v>
      </c>
      <c r="M128" s="29" t="s">
        <v>122</v>
      </c>
      <c r="N128" s="29" t="s">
        <v>123</v>
      </c>
      <c r="O128" s="29" t="s">
        <v>33</v>
      </c>
      <c r="P128" s="29" t="s">
        <v>7</v>
      </c>
      <c r="Q128" s="29" t="s">
        <v>30</v>
      </c>
      <c r="R128" s="29" t="s">
        <v>31</v>
      </c>
      <c r="S128" s="29" t="s">
        <v>28</v>
      </c>
      <c r="T128" s="29" t="s">
        <v>32</v>
      </c>
      <c r="U128" s="86"/>
    </row>
    <row r="129" spans="1:21" ht="18.75" customHeight="1" x14ac:dyDescent="0.2">
      <c r="A129" s="83" t="s">
        <v>68</v>
      </c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5"/>
    </row>
    <row r="130" spans="1:21" x14ac:dyDescent="0.2">
      <c r="A130" s="32" t="str">
        <f>IF(ISNA(INDEX($A$36:$U$103,MATCH($B130,$B$36:$B$103,0),1)),"",INDEX($A$36:$U$103,MATCH($B130,$B$36:$B$103,0),1))</f>
        <v>MMX9702</v>
      </c>
      <c r="B130" s="72" t="s">
        <v>115</v>
      </c>
      <c r="C130" s="72"/>
      <c r="D130" s="72"/>
      <c r="E130" s="72"/>
      <c r="F130" s="72"/>
      <c r="G130" s="72"/>
      <c r="H130" s="72"/>
      <c r="I130" s="72"/>
      <c r="J130" s="19">
        <f>IF(ISNA(INDEX($A$36:$U$103,MATCH($B130,$B$36:$B$103,0),10)),"",INDEX($A$36:$U$103,MATCH($B130,$B$36:$B$103,0),10))</f>
        <v>7</v>
      </c>
      <c r="K130" s="19">
        <f>IF(ISNA(INDEX($A$36:$U$103,MATCH($B130,$B$36:$B$103,0),11)),"",INDEX($A$36:$U$103,MATCH($B130,$B$36:$B$103,0),11))</f>
        <v>2</v>
      </c>
      <c r="L130" s="19">
        <f>IF(ISNA(INDEX($A$36:$U$103,MATCH($B130,$B$36:$B$103,0),12)),"",INDEX($A$36:$U$103,MATCH($B130,$B$36:$B$103,0),12))</f>
        <v>1</v>
      </c>
      <c r="M130" s="19">
        <f>IF(ISNA(INDEX($A$36:$U$103,MATCH($B130,$B$36:$B$103,0),13)),"",INDEX($A$36:$U$103,MATCH($B130,$B$36:$B$103,0),13))</f>
        <v>0</v>
      </c>
      <c r="N130" s="19">
        <f>IF(ISNA(INDEX($A$36:$U$103,MATCH($B130,$B$36:$B$103,0),14)),"",INDEX($A$36:$U$103,MATCH($B130,$B$36:$B$103,0),14))</f>
        <v>1</v>
      </c>
      <c r="O130" s="19">
        <f>IF(ISNA(INDEX($A$36:$U$103,MATCH($B130,$B$36:$B$103,0),15)),"",INDEX($A$36:$U$103,MATCH($B130,$B$36:$B$103,0),15))</f>
        <v>4</v>
      </c>
      <c r="P130" s="19">
        <f>IF(ISNA(INDEX($A$36:$U$103,MATCH($B130,$B$36:$B$103,0),16)),"",INDEX($A$36:$U$103,MATCH($B130,$B$36:$B$103,0),16))</f>
        <v>9</v>
      </c>
      <c r="Q130" s="28">
        <f>IF(ISNA(INDEX($A$36:$U$103,MATCH($B130,$B$36:$B$103,0),17)),"",INDEX($A$36:$U$103,MATCH($B130,$B$36:$B$103,0),17))</f>
        <v>13</v>
      </c>
      <c r="R130" s="28" t="str">
        <f>IF(ISNA(INDEX($A$36:$U$103,MATCH($B130,$B$36:$B$103,0),18)),"",INDEX($A$36:$U$103,MATCH($B130,$B$36:$B$103,0),18))</f>
        <v>E</v>
      </c>
      <c r="S130" s="28"/>
      <c r="T130" s="28">
        <f>IF(ISNA(INDEX($A$36:$U$103,MATCH($B130,$B$36:$B$103,0),19)),"",INDEX($A$36:$U$103,MATCH($B130,$B$36:$B$103,0),19))</f>
        <v>0</v>
      </c>
      <c r="U130" s="18" t="s">
        <v>38</v>
      </c>
    </row>
    <row r="131" spans="1:21" x14ac:dyDescent="0.2">
      <c r="A131" s="32" t="str">
        <f>IF(ISNA(INDEX($A$36:$U$103,MATCH($B131,$B$36:$B$103,0),1)),"",INDEX($A$36:$U$103,MATCH($B131,$B$36:$B$103,0),1))</f>
        <v>MMG8155</v>
      </c>
      <c r="B131" s="77" t="s">
        <v>137</v>
      </c>
      <c r="C131" s="78"/>
      <c r="D131" s="78"/>
      <c r="E131" s="78"/>
      <c r="F131" s="78"/>
      <c r="G131" s="78"/>
      <c r="H131" s="78"/>
      <c r="I131" s="79"/>
      <c r="J131" s="19">
        <f>IF(ISNA(INDEX($A$36:$U$103,MATCH($B131,$B$36:$B$103,0),10)),"",INDEX($A$36:$U$103,MATCH($B131,$B$36:$B$103,0),10))</f>
        <v>6</v>
      </c>
      <c r="K131" s="19">
        <f>IF(ISNA(INDEX($A$36:$U$103,MATCH($B131,$B$36:$B$103,0),11)),"",INDEX($A$36:$U$103,MATCH($B131,$B$36:$B$103,0),11))</f>
        <v>2</v>
      </c>
      <c r="L131" s="19">
        <f>IF(ISNA(INDEX($A$36:$U$103,MATCH($B131,$B$36:$B$103,0),12)),"",INDEX($A$36:$U$103,MATCH($B131,$B$36:$B$103,0),12))</f>
        <v>1</v>
      </c>
      <c r="M131" s="19">
        <f>IF(ISNA(INDEX($A$36:$U$103,MATCH($B131,$B$36:$B$103,0),13)),"",INDEX($A$36:$U$103,MATCH($B131,$B$36:$B$103,0),13))</f>
        <v>0</v>
      </c>
      <c r="N131" s="19">
        <f>IF(ISNA(INDEX($A$36:$U$103,MATCH($B131,$B$36:$B$103,0),14)),"",INDEX($A$36:$U$103,MATCH($B131,$B$36:$B$103,0),14))</f>
        <v>1</v>
      </c>
      <c r="O131" s="19">
        <f>IF(ISNA(INDEX($A$36:$U$103,MATCH($B131,$B$36:$B$103,0),15)),"",INDEX($A$36:$U$103,MATCH($B131,$B$36:$B$103,0),15))</f>
        <v>4</v>
      </c>
      <c r="P131" s="19">
        <f>IF(ISNA(INDEX($A$36:$U$103,MATCH($B131,$B$36:$B$103,0),16)),"",INDEX($A$36:$U$103,MATCH($B131,$B$36:$B$103,0),16))</f>
        <v>7</v>
      </c>
      <c r="Q131" s="28">
        <f>IF(ISNA(INDEX($A$36:$U$103,MATCH($B131,$B$36:$B$103,0),17)),"",INDEX($A$36:$U$103,MATCH($B131,$B$36:$B$103,0),17))</f>
        <v>11</v>
      </c>
      <c r="R131" s="28" t="str">
        <f>IF(ISNA(INDEX($A$36:$U$103,MATCH($B131,$B$36:$B$103,0),18)),"",INDEX($A$36:$U$103,MATCH($B131,$B$36:$B$103,0),18))</f>
        <v>E</v>
      </c>
      <c r="S131" s="28"/>
      <c r="T131" s="28">
        <f>IF(ISNA(INDEX($A$36:$U$103,MATCH($B131,$B$36:$B$103,0),19)),"",INDEX($A$36:$U$103,MATCH($B131,$B$36:$B$103,0),19))</f>
        <v>0</v>
      </c>
      <c r="U131" s="18" t="s">
        <v>38</v>
      </c>
    </row>
    <row r="132" spans="1:21" x14ac:dyDescent="0.2">
      <c r="A132" s="32" t="str">
        <f>IF(ISNA(INDEX($A$36:$U$103,MATCH($B132,$B$36:$B$103,0),1)),"",INDEX($A$36:$U$103,MATCH($B132,$B$36:$B$103,0),1))</f>
        <v>MMG9105</v>
      </c>
      <c r="B132" s="77" t="s">
        <v>135</v>
      </c>
      <c r="C132" s="78"/>
      <c r="D132" s="78"/>
      <c r="E132" s="78"/>
      <c r="F132" s="78"/>
      <c r="G132" s="78"/>
      <c r="H132" s="78"/>
      <c r="I132" s="79"/>
      <c r="J132" s="19">
        <f>IF(ISNA(INDEX($A$36:$U$103,MATCH($B132,$B$36:$B$103,0),10)),"",INDEX($A$36:$U$103,MATCH($B132,$B$36:$B$103,0),10))</f>
        <v>3</v>
      </c>
      <c r="K132" s="19">
        <f>IF(ISNA(INDEX($A$36:$U$103,MATCH($B132,$B$36:$B$103,0),11)),"",INDEX($A$36:$U$103,MATCH($B132,$B$36:$B$103,0),11))</f>
        <v>0</v>
      </c>
      <c r="L132" s="19">
        <f>IF(ISNA(INDEX($A$36:$U$103,MATCH($B132,$B$36:$B$103,0),12)),"",INDEX($A$36:$U$103,MATCH($B132,$B$36:$B$103,0),12))</f>
        <v>0</v>
      </c>
      <c r="M132" s="19">
        <f>IF(ISNA(INDEX($A$36:$U$103,MATCH($B132,$B$36:$B$103,0),13)),"",INDEX($A$36:$U$103,MATCH($B132,$B$36:$B$103,0),13))</f>
        <v>0</v>
      </c>
      <c r="N132" s="19">
        <f>IF(ISNA(INDEX($A$36:$U$103,MATCH($B132,$B$36:$B$103,0),14)),"",INDEX($A$36:$U$103,MATCH($B132,$B$36:$B$103,0),14))</f>
        <v>1</v>
      </c>
      <c r="O132" s="19">
        <f>IF(ISNA(INDEX($A$36:$U$103,MATCH($B132,$B$36:$B$103,0),15)),"",INDEX($A$36:$U$103,MATCH($B132,$B$36:$B$103,0),15))</f>
        <v>1</v>
      </c>
      <c r="P132" s="19">
        <f>IF(ISNA(INDEX($A$36:$U$103,MATCH($B132,$B$36:$B$103,0),16)),"",INDEX($A$36:$U$103,MATCH($B132,$B$36:$B$103,0),16))</f>
        <v>4</v>
      </c>
      <c r="Q132" s="28">
        <f>IF(ISNA(INDEX($A$36:$U$103,MATCH($B132,$B$36:$B$103,0),17)),"",INDEX($A$36:$U$103,MATCH($B132,$B$36:$B$103,0),17))</f>
        <v>5</v>
      </c>
      <c r="R132" s="28" t="str">
        <f>IF(ISNA(INDEX($A$36:$U$103,MATCH($B132,$B$36:$B$103,0),18)),"",INDEX($A$36:$U$103,MATCH($B132,$B$36:$B$103,0),18))</f>
        <v>E</v>
      </c>
      <c r="S132" s="28"/>
      <c r="T132" s="28">
        <f>IF(ISNA(INDEX($A$36:$U$103,MATCH($B132,$B$36:$B$103,0),19)),"",INDEX($A$36:$U$103,MATCH($B132,$B$36:$B$103,0),19))</f>
        <v>0</v>
      </c>
      <c r="U132" s="18" t="s">
        <v>38</v>
      </c>
    </row>
    <row r="133" spans="1:21" x14ac:dyDescent="0.2">
      <c r="A133" s="32" t="str">
        <f>IF(ISNA(INDEX($A$36:$U$103,MATCH($B133,$B$36:$B$103,0),1)),"",INDEX($A$36:$U$103,MATCH($B133,$B$36:$B$103,0),1))</f>
        <v>MMX9703</v>
      </c>
      <c r="B133" s="72" t="s">
        <v>114</v>
      </c>
      <c r="C133" s="72"/>
      <c r="D133" s="72"/>
      <c r="E133" s="72"/>
      <c r="F133" s="72"/>
      <c r="G133" s="72"/>
      <c r="H133" s="72"/>
      <c r="I133" s="72"/>
      <c r="J133" s="19">
        <f>IF(ISNA(INDEX($A$36:$U$103,MATCH($B133,$B$36:$B$103,0),10)),"",INDEX($A$36:$U$103,MATCH($B133,$B$36:$B$103,0),10))</f>
        <v>7</v>
      </c>
      <c r="K133" s="19">
        <f>IF(ISNA(INDEX($A$36:$U$103,MATCH($B133,$B$36:$B$103,0),11)),"",INDEX($A$36:$U$103,MATCH($B133,$B$36:$B$103,0),11))</f>
        <v>2</v>
      </c>
      <c r="L133" s="19">
        <f>IF(ISNA(INDEX($A$36:$U$103,MATCH($B133,$B$36:$B$103,0),12)),"",INDEX($A$36:$U$103,MATCH($B133,$B$36:$B$103,0),12))</f>
        <v>1</v>
      </c>
      <c r="M133" s="19">
        <f>IF(ISNA(INDEX($A$36:$U$103,MATCH($B133,$B$36:$B$103,0),13)),"",INDEX($A$36:$U$103,MATCH($B133,$B$36:$B$103,0),13))</f>
        <v>0</v>
      </c>
      <c r="N133" s="19">
        <f>IF(ISNA(INDEX($A$36:$U$103,MATCH($B133,$B$36:$B$103,0),14)),"",INDEX($A$36:$U$103,MATCH($B133,$B$36:$B$103,0),14))</f>
        <v>1</v>
      </c>
      <c r="O133" s="19">
        <f>IF(ISNA(INDEX($A$36:$U$103,MATCH($B133,$B$36:$B$103,0),15)),"",INDEX($A$36:$U$103,MATCH($B133,$B$36:$B$103,0),15))</f>
        <v>4</v>
      </c>
      <c r="P133" s="19">
        <f>IF(ISNA(INDEX($A$36:$U$103,MATCH($B133,$B$36:$B$103,0),16)),"",INDEX($A$36:$U$103,MATCH($B133,$B$36:$B$103,0),16))</f>
        <v>9</v>
      </c>
      <c r="Q133" s="28">
        <f>IF(ISNA(INDEX($A$36:$U$103,MATCH($B133,$B$36:$B$103,0),17)),"",INDEX($A$36:$U$103,MATCH($B133,$B$36:$B$103,0),17))</f>
        <v>13</v>
      </c>
      <c r="R133" s="28" t="str">
        <f>IF(ISNA(INDEX($A$36:$U$103,MATCH($B133,$B$36:$B$103,0),18)),"",INDEX($A$36:$U$103,MATCH($B133,$B$36:$B$103,0),18))</f>
        <v>E</v>
      </c>
      <c r="S133" s="28"/>
      <c r="T133" s="28">
        <f>IF(ISNA(INDEX($A$36:$U$103,MATCH($B133,$B$36:$B$103,0),19)),"",INDEX($A$36:$U$103,MATCH($B133,$B$36:$B$103,0),19))</f>
        <v>0</v>
      </c>
      <c r="U133" s="18" t="s">
        <v>38</v>
      </c>
    </row>
    <row r="134" spans="1:21" x14ac:dyDescent="0.2">
      <c r="A134" s="32" t="str">
        <f>IF(ISNA(INDEX($A$36:$U$103,MATCH($B134,$B$36:$B$103,0),1)),"",INDEX($A$36:$U$103,MATCH($B134,$B$36:$B$103,0),1))</f>
        <v/>
      </c>
      <c r="B134" s="178"/>
      <c r="C134" s="87"/>
      <c r="D134" s="87"/>
      <c r="E134" s="87"/>
      <c r="F134" s="87"/>
      <c r="G134" s="87"/>
      <c r="H134" s="87"/>
      <c r="I134" s="88"/>
      <c r="J134" s="19" t="str">
        <f>IF(ISNA(INDEX($A$36:$U$103,MATCH($B134,$B$36:$B$103,0),10)),"",INDEX($A$36:$U$103,MATCH($B134,$B$36:$B$103,0),10))</f>
        <v/>
      </c>
      <c r="K134" s="19" t="str">
        <f>IF(ISNA(INDEX($A$36:$U$103,MATCH($B134,$B$36:$B$103,0),11)),"",INDEX($A$36:$U$103,MATCH($B134,$B$36:$B$103,0),11))</f>
        <v/>
      </c>
      <c r="L134" s="19" t="str">
        <f>IF(ISNA(INDEX($A$36:$U$103,MATCH($B134,$B$36:$B$103,0),12)),"",INDEX($A$36:$U$103,MATCH($B134,$B$36:$B$103,0),12))</f>
        <v/>
      </c>
      <c r="M134" s="19" t="str">
        <f>IF(ISNA(INDEX($A$36:$U$103,MATCH($B134,$B$36:$B$103,0),12)),"",INDEX($A$36:$U$103,MATCH($B134,$B$36:$B$103,0),12))</f>
        <v/>
      </c>
      <c r="N134" s="19" t="str">
        <f>IF(ISNA(INDEX($A$36:$U$103,MATCH($B134,$B$36:$B$103,0),13)),"",INDEX($A$36:$U$103,MATCH($B134,$B$36:$B$103,0),13))</f>
        <v/>
      </c>
      <c r="O134" s="19" t="str">
        <f>IF(ISNA(INDEX($A$36:$U$103,MATCH($B134,$B$36:$B$103,0),14)),"",INDEX($A$36:$U$103,MATCH($B134,$B$36:$B$103,0),14))</f>
        <v/>
      </c>
      <c r="P134" s="19" t="str">
        <f>IF(ISNA(INDEX($A$36:$U$103,MATCH($B134,$B$36:$B$103,0),15)),"",INDEX($A$36:$U$103,MATCH($B134,$B$36:$B$103,0),15))</f>
        <v/>
      </c>
      <c r="Q134" s="19" t="str">
        <f>IF(ISNA(INDEX($A$36:$U$103,MATCH($B134,$B$36:$B$103,0),16)),"",INDEX($A$36:$U$103,MATCH($B134,$B$36:$B$103,0),16))</f>
        <v/>
      </c>
      <c r="R134" s="28" t="str">
        <f>IF(ISNA(INDEX($A$36:$U$103,MATCH($B134,$B$36:$B$103,0),17)),"",INDEX($A$36:$U$103,MATCH($B134,$B$36:$B$103,0),17))</f>
        <v/>
      </c>
      <c r="S134" s="28" t="str">
        <f>IF(ISNA(INDEX($A$36:$U$103,MATCH($B134,$B$36:$B$103,0),18)),"",INDEX($A$36:$U$103,MATCH($B134,$B$36:$B$103,0),18))</f>
        <v/>
      </c>
      <c r="T134" s="28" t="str">
        <f>IF(ISNA(INDEX($A$36:$U$103,MATCH($B134,$B$36:$B$103,0),19)),"",INDEX($A$36:$U$103,MATCH($B134,$B$36:$B$103,0),19))</f>
        <v/>
      </c>
      <c r="U134" s="18" t="s">
        <v>38</v>
      </c>
    </row>
    <row r="135" spans="1:21" x14ac:dyDescent="0.2">
      <c r="A135" s="20" t="s">
        <v>25</v>
      </c>
      <c r="B135" s="89"/>
      <c r="C135" s="90"/>
      <c r="D135" s="90"/>
      <c r="E135" s="90"/>
      <c r="F135" s="90"/>
      <c r="G135" s="90"/>
      <c r="H135" s="90"/>
      <c r="I135" s="91"/>
      <c r="J135" s="22">
        <f>SUM(J130:J134)</f>
        <v>23</v>
      </c>
      <c r="K135" s="22">
        <f>SUM(K130:K134)</f>
        <v>6</v>
      </c>
      <c r="L135" s="22">
        <f>SUM(L134:L134)</f>
        <v>0</v>
      </c>
      <c r="M135" s="22">
        <f>SUM(M130:M134)</f>
        <v>0</v>
      </c>
      <c r="N135" s="22">
        <f>SUM(N130:N134)</f>
        <v>4</v>
      </c>
      <c r="O135" s="22">
        <f>SUM(O130:O134)</f>
        <v>13</v>
      </c>
      <c r="P135" s="22">
        <f>SUM(P130:P134)</f>
        <v>29</v>
      </c>
      <c r="Q135" s="22">
        <f>SUM(Q130:Q134)</f>
        <v>42</v>
      </c>
      <c r="R135" s="20">
        <f>COUNTIF(R130:R134,"E")</f>
        <v>4</v>
      </c>
      <c r="S135" s="20">
        <f>COUNTIF(S130:S134,"C")</f>
        <v>0</v>
      </c>
      <c r="T135" s="20">
        <f>COUNTIF(T130:T134,"VP")</f>
        <v>0</v>
      </c>
      <c r="U135" s="18"/>
    </row>
    <row r="136" spans="1:21" ht="18" customHeight="1" x14ac:dyDescent="0.2">
      <c r="A136" s="83" t="s">
        <v>70</v>
      </c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5"/>
    </row>
    <row r="137" spans="1:21" x14ac:dyDescent="0.2">
      <c r="A137" s="32" t="str">
        <f>IF(ISNA(INDEX($A$36:$U$103,MATCH($B137,$B$36:$B$103,0),1)),"",INDEX($A$36:$U$103,MATCH($B137,$B$36:$B$103,0),1))</f>
        <v>MMG9012</v>
      </c>
      <c r="B137" s="72" t="s">
        <v>124</v>
      </c>
      <c r="C137" s="72"/>
      <c r="D137" s="72"/>
      <c r="E137" s="72"/>
      <c r="F137" s="72"/>
      <c r="G137" s="72"/>
      <c r="H137" s="72"/>
      <c r="I137" s="72"/>
      <c r="J137" s="19">
        <f>IF(ISNA(INDEX($A$36:$U$103,MATCH($B137,$B$36:$B$103,0),10)),"",INDEX($A$36:$U$103,MATCH($B137,$B$36:$B$103,0),10))</f>
        <v>20</v>
      </c>
      <c r="K137" s="19">
        <f>IF(ISNA(INDEX($A$36:$U$103,MATCH($B137,$B$36:$B$103,0),11)),"",INDEX($A$36:$U$103,MATCH($B137,$B$36:$B$103,0),11))</f>
        <v>0</v>
      </c>
      <c r="L137" s="19">
        <f>IF(ISNA(INDEX($A$36:$U$103,MATCH($B137,$B$36:$B$103,0),12)),"",INDEX($A$36:$U$103,MATCH($B137,$B$36:$B$103,0),12))</f>
        <v>0</v>
      </c>
      <c r="M137" s="19">
        <f>IF(ISNA(INDEX($A$36:$U$103,MATCH($B137,$B$36:$B$103,0),13)),"",INDEX($A$36:$U$103,MATCH($B137,$B$36:$B$103,0),13))</f>
        <v>0</v>
      </c>
      <c r="N137" s="19">
        <f>IF(ISNA(INDEX($A$36:$U$103,MATCH($B137,$B$36:$B$103,0),14)),"",INDEX($A$36:$U$103,MATCH($B137,$B$36:$B$103,0),14))</f>
        <v>16</v>
      </c>
      <c r="O137" s="19">
        <f>IF(ISNA(INDEX($A$36:$U$103,MATCH($B137,$B$36:$B$103,0),15)),"",INDEX($A$36:$U$103,MATCH($B137,$B$36:$B$103,0),15))</f>
        <v>16</v>
      </c>
      <c r="P137" s="19">
        <f>IF(ISNA(INDEX($A$36:$U$103,MATCH($B137,$B$36:$B$103,0),16)),"",INDEX($A$36:$U$103,MATCH($B137,$B$36:$B$103,0),16))</f>
        <v>26</v>
      </c>
      <c r="Q137" s="28">
        <f>IF(ISNA(INDEX($A$36:$U$103,MATCH($B137,$B$36:$B$103,0),17)),"",INDEX($A$36:$U$103,MATCH($B137,$B$36:$B$103,0),17))</f>
        <v>42</v>
      </c>
      <c r="R137" s="28">
        <f>IF(ISNA(INDEX($A$36:$U$103,MATCH($B137,$B$36:$B$103,0),18)),"",INDEX($A$36:$U$103,MATCH($B137,$B$36:$B$103,0),18))</f>
        <v>0</v>
      </c>
      <c r="S137" s="28" t="str">
        <f>IF(ISNA(INDEX($A$36:$U$103,MATCH($B137,$B$36:$B$103,0),19)),"",INDEX($A$36:$U$103,MATCH($B137,$B$36:$B$103,0),19))</f>
        <v>C</v>
      </c>
      <c r="T137" s="28"/>
      <c r="U137" s="18" t="s">
        <v>38</v>
      </c>
    </row>
    <row r="138" spans="1:21" x14ac:dyDescent="0.2">
      <c r="A138" s="32" t="str">
        <f>IF(ISNA(INDEX($A$36:$U$103,MATCH($B138,$B$36:$B$103,0),1)),"",INDEX($A$36:$U$103,MATCH($B138,$B$36:$B$103,0),1))</f>
        <v>MMG9104</v>
      </c>
      <c r="B138" s="72" t="s">
        <v>136</v>
      </c>
      <c r="C138" s="72"/>
      <c r="D138" s="72"/>
      <c r="E138" s="72"/>
      <c r="F138" s="72"/>
      <c r="G138" s="72"/>
      <c r="H138" s="72"/>
      <c r="I138" s="72"/>
      <c r="J138" s="19">
        <f>IF(ISNA(INDEX($A$36:$U$103,MATCH($B138,$B$36:$B$103,0),10)),"",INDEX($A$36:$U$103,MATCH($B138,$B$36:$B$103,0),10))</f>
        <v>6</v>
      </c>
      <c r="K138" s="19">
        <f>IF(ISNA(INDEX($A$36:$U$103,MATCH($B138,$B$36:$B$103,0),11)),"",INDEX($A$36:$U$103,MATCH($B138,$B$36:$B$103,0),11))</f>
        <v>0</v>
      </c>
      <c r="L138" s="19">
        <f>IF(ISNA(INDEX($A$36:$U$103,MATCH($B138,$B$36:$B$103,0),12)),"",INDEX($A$36:$U$103,MATCH($B138,$B$36:$B$103,0),12))</f>
        <v>0</v>
      </c>
      <c r="M138" s="19">
        <f>IF(ISNA(INDEX($A$36:$U$103,MATCH($B138,$B$36:$B$103,0),13)),"",INDEX($A$36:$U$103,MATCH($B138,$B$36:$B$103,0),13))</f>
        <v>1</v>
      </c>
      <c r="N138" s="19">
        <f>IF(ISNA(INDEX($A$36:$U$103,MATCH($B138,$B$36:$B$103,0),14)),"",INDEX($A$36:$U$103,MATCH($B138,$B$36:$B$103,0),14))</f>
        <v>2</v>
      </c>
      <c r="O138" s="19">
        <f>IF(ISNA(INDEX($A$36:$U$103,MATCH($B138,$B$36:$B$103,0),15)),"",INDEX($A$36:$U$103,MATCH($B138,$B$36:$B$103,0),15))</f>
        <v>3</v>
      </c>
      <c r="P138" s="19">
        <f>IF(ISNA(INDEX($A$36:$U$103,MATCH($B138,$B$36:$B$103,0),16)),"",INDEX($A$36:$U$103,MATCH($B138,$B$36:$B$103,0),16))</f>
        <v>10</v>
      </c>
      <c r="Q138" s="28">
        <f>IF(ISNA(INDEX($A$36:$U$103,MATCH($B138,$B$36:$B$103,0),17)),"",INDEX($A$36:$U$103,MATCH($B138,$B$36:$B$103,0),17))</f>
        <v>13</v>
      </c>
      <c r="R138" s="28">
        <f>IF(ISNA(INDEX($A$36:$U$103,MATCH($B138,$B$36:$B$103,0),18)),"",INDEX($A$36:$U$103,MATCH($B138,$B$36:$B$103,0),18))</f>
        <v>0</v>
      </c>
      <c r="S138" s="28" t="str">
        <f>IF(ISNA(INDEX($A$36:$U$103,MATCH($B138,$B$36:$B$103,0),19)),"",INDEX($A$36:$U$103,MATCH($B138,$B$36:$B$103,0),19))</f>
        <v>C</v>
      </c>
      <c r="T138" s="28"/>
      <c r="U138" s="18" t="s">
        <v>38</v>
      </c>
    </row>
    <row r="139" spans="1:21" x14ac:dyDescent="0.2">
      <c r="A139" s="32" t="str">
        <f>IF(ISNA(INDEX($A$36:$U$103,MATCH($B139,$B$36:$B$103,0),1)),"",INDEX($A$36:$U$103,MATCH($B139,$B$36:$B$103,0),1))</f>
        <v>MMG3042</v>
      </c>
      <c r="B139" s="72" t="s">
        <v>127</v>
      </c>
      <c r="C139" s="72"/>
      <c r="D139" s="72"/>
      <c r="E139" s="72"/>
      <c r="F139" s="72"/>
      <c r="G139" s="72"/>
      <c r="H139" s="72"/>
      <c r="I139" s="72"/>
      <c r="J139" s="19">
        <f>IF(ISNA(INDEX($A$36:$U$103,MATCH($B139,$B$36:$B$103,0),10)),"",INDEX($A$36:$U$103,MATCH($B139,$B$36:$B$103,0),10))</f>
        <v>4</v>
      </c>
      <c r="K139" s="19">
        <f>IF(ISNA(INDEX($A$36:$U$103,MATCH($B139,$B$36:$B$103,0),11)),"",INDEX($A$36:$U$103,MATCH($B139,$B$36:$B$103,0),11))</f>
        <v>0</v>
      </c>
      <c r="L139" s="19">
        <f>IF(ISNA(INDEX($A$36:$U$103,MATCH($B139,$B$36:$B$103,0),12)),"",INDEX($A$36:$U$103,MATCH($B139,$B$36:$B$103,0),12))</f>
        <v>0</v>
      </c>
      <c r="M139" s="19">
        <f>IF(ISNA(INDEX($A$36:$U$103,MATCH($B139,$B$36:$B$103,0),13)),"",INDEX($A$36:$U$103,MATCH($B139,$B$36:$B$103,0),13))</f>
        <v>0</v>
      </c>
      <c r="N139" s="19">
        <f>IF(ISNA(INDEX($A$36:$U$103,MATCH($B139,$B$36:$B$103,0),14)),"",INDEX($A$36:$U$103,MATCH($B139,$B$36:$B$103,0),14))</f>
        <v>5</v>
      </c>
      <c r="O139" s="19">
        <f>IF(ISNA(INDEX($A$36:$U$103,MATCH($B139,$B$36:$B$103,0),15)),"",INDEX($A$36:$U$103,MATCH($B139,$B$36:$B$103,0),15))</f>
        <v>5</v>
      </c>
      <c r="P139" s="19">
        <f>IF(ISNA(INDEX($A$36:$U$103,MATCH($B139,$B$36:$B$103,0),16)),"",INDEX($A$36:$U$103,MATCH($B139,$B$36:$B$103,0),16))</f>
        <v>3</v>
      </c>
      <c r="Q139" s="28">
        <f>IF(ISNA(INDEX($A$36:$U$103,MATCH($B139,$B$36:$B$103,0),17)),"",INDEX($A$36:$U$103,MATCH($B139,$B$36:$B$103,0),17))</f>
        <v>8</v>
      </c>
      <c r="R139" s="28">
        <f>IF(ISNA(INDEX($A$36:$U$103,MATCH($B139,$B$36:$B$103,0),18)),"",INDEX($A$36:$U$103,MATCH($B139,$B$36:$B$103,0),18))</f>
        <v>0</v>
      </c>
      <c r="S139" s="28">
        <f>IF(ISNA(INDEX($A$36:$U$103,MATCH($B139,$B$36:$B$103,0),19)),"",INDEX($A$36:$U$103,MATCH($B139,$B$36:$B$103,0),19))</f>
        <v>0</v>
      </c>
      <c r="T139" s="28" t="s">
        <v>32</v>
      </c>
      <c r="U139" s="18" t="s">
        <v>38</v>
      </c>
    </row>
    <row r="140" spans="1:21" x14ac:dyDescent="0.2">
      <c r="A140" s="32" t="str">
        <f>IF(ISNA(INDEX($A$36:$U$103,MATCH($B140,$B$36:$B$103,0),1)),"",INDEX($A$36:$U$103,MATCH($B140,$B$36:$B$103,0),1))</f>
        <v/>
      </c>
      <c r="B140" s="72"/>
      <c r="C140" s="72"/>
      <c r="D140" s="72"/>
      <c r="E140" s="72"/>
      <c r="F140" s="72"/>
      <c r="G140" s="72"/>
      <c r="H140" s="72"/>
      <c r="I140" s="72"/>
      <c r="J140" s="19" t="str">
        <f>IF(ISNA(INDEX($A$36:$U$103,MATCH($B140,$B$36:$B$103,0),10)),"",INDEX($A$36:$U$103,MATCH($B140,$B$36:$B$103,0),10))</f>
        <v/>
      </c>
      <c r="K140" s="19" t="str">
        <f>IF(ISNA(INDEX($A$36:$U$103,MATCH($B140,$B$36:$B$103,0),11)),"",INDEX($A$36:$U$103,MATCH($B140,$B$36:$B$103,0),11))</f>
        <v/>
      </c>
      <c r="L140" s="19" t="str">
        <f>IF(ISNA(INDEX($A$36:$U$103,MATCH($B140,$B$36:$B$103,0),12)),"",INDEX($A$36:$U$103,MATCH($B140,$B$36:$B$103,0),12))</f>
        <v/>
      </c>
      <c r="M140" s="19" t="str">
        <f>IF(ISNA(INDEX($A$36:$U$103,MATCH($B140,$B$36:$B$103,0),12)),"",INDEX($A$36:$U$103,MATCH($B140,$B$36:$B$103,0),12))</f>
        <v/>
      </c>
      <c r="N140" s="19" t="str">
        <f>IF(ISNA(INDEX($A$36:$U$103,MATCH($B140,$B$36:$B$103,0),13)),"",INDEX($A$36:$U$103,MATCH($B140,$B$36:$B$103,0),13))</f>
        <v/>
      </c>
      <c r="O140" s="19" t="str">
        <f>IF(ISNA(INDEX($A$36:$U$103,MATCH($B140,$B$36:$B$103,0),14)),"",INDEX($A$36:$U$103,MATCH($B140,$B$36:$B$103,0),14))</f>
        <v/>
      </c>
      <c r="P140" s="19" t="str">
        <f>IF(ISNA(INDEX($A$36:$U$103,MATCH($B140,$B$36:$B$103,0),15)),"",INDEX($A$36:$U$103,MATCH($B140,$B$36:$B$103,0),15))</f>
        <v/>
      </c>
      <c r="Q140" s="19" t="str">
        <f>IF(ISNA(INDEX($A$36:$U$103,MATCH($B140,$B$36:$B$103,0),16)),"",INDEX($A$36:$U$103,MATCH($B140,$B$36:$B$103,0),16))</f>
        <v/>
      </c>
      <c r="R140" s="28" t="str">
        <f>IF(ISNA(INDEX($A$36:$U$103,MATCH($B140,$B$36:$B$103,0),17)),"",INDEX($A$36:$U$103,MATCH($B140,$B$36:$B$103,0),17))</f>
        <v/>
      </c>
      <c r="S140" s="28" t="str">
        <f>IF(ISNA(INDEX($A$36:$U$103,MATCH($B140,$B$36:$B$103,0),18)),"",INDEX($A$36:$U$103,MATCH($B140,$B$36:$B$103,0),18))</f>
        <v/>
      </c>
      <c r="T140" s="28" t="str">
        <f>IF(ISNA(INDEX($A$36:$U$103,MATCH($B140,$B$36:$B$103,0),19)),"",INDEX($A$36:$U$103,MATCH($B140,$B$36:$B$103,0),19))</f>
        <v/>
      </c>
      <c r="U140" s="18" t="s">
        <v>38</v>
      </c>
    </row>
    <row r="141" spans="1:21" x14ac:dyDescent="0.2">
      <c r="A141" s="20" t="s">
        <v>25</v>
      </c>
      <c r="B141" s="179"/>
      <c r="C141" s="179"/>
      <c r="D141" s="179"/>
      <c r="E141" s="179"/>
      <c r="F141" s="179"/>
      <c r="G141" s="179"/>
      <c r="H141" s="179"/>
      <c r="I141" s="179"/>
      <c r="J141" s="22">
        <f t="shared" ref="J141:Q141" si="18">SUM(J137:J140)</f>
        <v>30</v>
      </c>
      <c r="K141" s="22">
        <f t="shared" si="18"/>
        <v>0</v>
      </c>
      <c r="L141" s="22">
        <f>SUM(L140:L140)</f>
        <v>0</v>
      </c>
      <c r="M141" s="22">
        <f t="shared" ref="M141" si="19">SUM(M137:M140)</f>
        <v>1</v>
      </c>
      <c r="N141" s="22">
        <f t="shared" si="18"/>
        <v>23</v>
      </c>
      <c r="O141" s="22">
        <f t="shared" si="18"/>
        <v>24</v>
      </c>
      <c r="P141" s="22">
        <f t="shared" si="18"/>
        <v>39</v>
      </c>
      <c r="Q141" s="22">
        <f t="shared" si="18"/>
        <v>63</v>
      </c>
      <c r="R141" s="20">
        <f>COUNTIF(R137:R140,"E")</f>
        <v>0</v>
      </c>
      <c r="S141" s="20">
        <f>COUNTIF(S137:S140,"C")</f>
        <v>2</v>
      </c>
      <c r="T141" s="20">
        <f>COUNTIF(T137:T140,"VP")</f>
        <v>1</v>
      </c>
      <c r="U141" s="21"/>
    </row>
    <row r="142" spans="1:21" ht="25.5" customHeight="1" x14ac:dyDescent="0.2">
      <c r="A142" s="158" t="s">
        <v>52</v>
      </c>
      <c r="B142" s="159"/>
      <c r="C142" s="159"/>
      <c r="D142" s="159"/>
      <c r="E142" s="159"/>
      <c r="F142" s="159"/>
      <c r="G142" s="159"/>
      <c r="H142" s="159"/>
      <c r="I142" s="160"/>
      <c r="J142" s="22">
        <f t="shared" ref="J142:T142" si="20">SUM(J135,J141)</f>
        <v>53</v>
      </c>
      <c r="K142" s="22">
        <f t="shared" si="20"/>
        <v>6</v>
      </c>
      <c r="L142" s="22">
        <f t="shared" si="20"/>
        <v>0</v>
      </c>
      <c r="M142" s="22">
        <f t="shared" ref="M142" si="21">SUM(M135,M141)</f>
        <v>1</v>
      </c>
      <c r="N142" s="22">
        <f t="shared" si="20"/>
        <v>27</v>
      </c>
      <c r="O142" s="22">
        <f t="shared" si="20"/>
        <v>37</v>
      </c>
      <c r="P142" s="22">
        <f t="shared" si="20"/>
        <v>68</v>
      </c>
      <c r="Q142" s="22">
        <f t="shared" si="20"/>
        <v>105</v>
      </c>
      <c r="R142" s="22">
        <f t="shared" si="20"/>
        <v>4</v>
      </c>
      <c r="S142" s="22">
        <f t="shared" si="20"/>
        <v>2</v>
      </c>
      <c r="T142" s="22">
        <f t="shared" si="20"/>
        <v>1</v>
      </c>
      <c r="U142" s="60">
        <f>SUM(R142:T142)/18</f>
        <v>0.3888888888888889</v>
      </c>
    </row>
    <row r="143" spans="1:21" ht="13.5" customHeight="1" x14ac:dyDescent="0.2">
      <c r="A143" s="161" t="s">
        <v>53</v>
      </c>
      <c r="B143" s="162"/>
      <c r="C143" s="162"/>
      <c r="D143" s="162"/>
      <c r="E143" s="162"/>
      <c r="F143" s="162"/>
      <c r="G143" s="162"/>
      <c r="H143" s="162"/>
      <c r="I143" s="162"/>
      <c r="J143" s="163"/>
      <c r="K143" s="22">
        <f t="shared" ref="K143:Q143" si="22">K135*14+K141*12</f>
        <v>84</v>
      </c>
      <c r="L143" s="22">
        <f t="shared" si="22"/>
        <v>0</v>
      </c>
      <c r="M143" s="22">
        <f t="shared" ref="M143" si="23">M135*14+M141*12</f>
        <v>12</v>
      </c>
      <c r="N143" s="22">
        <f t="shared" si="22"/>
        <v>332</v>
      </c>
      <c r="O143" s="22">
        <f t="shared" si="22"/>
        <v>470</v>
      </c>
      <c r="P143" s="22">
        <f t="shared" si="22"/>
        <v>874</v>
      </c>
      <c r="Q143" s="22">
        <f t="shared" si="22"/>
        <v>1344</v>
      </c>
      <c r="R143" s="152"/>
      <c r="S143" s="153"/>
      <c r="T143" s="153"/>
      <c r="U143" s="154"/>
    </row>
    <row r="144" spans="1:21" ht="16.5" customHeight="1" x14ac:dyDescent="0.2">
      <c r="A144" s="164"/>
      <c r="B144" s="165"/>
      <c r="C144" s="165"/>
      <c r="D144" s="165"/>
      <c r="E144" s="165"/>
      <c r="F144" s="165"/>
      <c r="G144" s="165"/>
      <c r="H144" s="165"/>
      <c r="I144" s="165"/>
      <c r="J144" s="166"/>
      <c r="K144" s="125">
        <f>SUM(K143:N143)</f>
        <v>428</v>
      </c>
      <c r="L144" s="126"/>
      <c r="M144" s="126"/>
      <c r="N144" s="127"/>
      <c r="O144" s="128">
        <f>SUM(O143:P143)</f>
        <v>1344</v>
      </c>
      <c r="P144" s="129"/>
      <c r="Q144" s="130"/>
      <c r="R144" s="155"/>
      <c r="S144" s="156"/>
      <c r="T144" s="156"/>
      <c r="U144" s="157"/>
    </row>
    <row r="145" spans="1:21" ht="8.25" customHeight="1" x14ac:dyDescent="0.2"/>
    <row r="146" spans="1:21" x14ac:dyDescent="0.2">
      <c r="B146" s="2"/>
      <c r="C146" s="2"/>
      <c r="D146" s="2"/>
      <c r="E146" s="2"/>
      <c r="F146" s="2"/>
      <c r="G146" s="2"/>
      <c r="N146" s="8"/>
      <c r="O146" s="8"/>
      <c r="P146" s="8"/>
      <c r="Q146" s="8"/>
      <c r="R146" s="8"/>
      <c r="S146" s="8"/>
      <c r="T146" s="8"/>
    </row>
    <row r="147" spans="1:21" x14ac:dyDescent="0.2">
      <c r="B147" s="8"/>
      <c r="C147" s="8"/>
      <c r="D147" s="8"/>
      <c r="E147" s="8"/>
      <c r="F147" s="8"/>
      <c r="G147" s="8"/>
      <c r="H147" s="16"/>
      <c r="I147" s="16"/>
      <c r="J147" s="16"/>
      <c r="N147" s="8"/>
      <c r="O147" s="8"/>
      <c r="P147" s="8"/>
      <c r="Q147" s="8"/>
      <c r="R147" s="8"/>
      <c r="S147" s="8"/>
      <c r="T147" s="8"/>
    </row>
    <row r="148" spans="1:21" ht="12" customHeight="1" x14ac:dyDescent="0.2"/>
    <row r="149" spans="1:21" ht="22.5" customHeight="1" x14ac:dyDescent="0.2">
      <c r="A149" s="179" t="s">
        <v>74</v>
      </c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</row>
    <row r="150" spans="1:21" ht="25.5" customHeight="1" x14ac:dyDescent="0.2">
      <c r="A150" s="179" t="s">
        <v>27</v>
      </c>
      <c r="B150" s="179" t="s">
        <v>26</v>
      </c>
      <c r="C150" s="179"/>
      <c r="D150" s="179"/>
      <c r="E150" s="179"/>
      <c r="F150" s="179"/>
      <c r="G150" s="179"/>
      <c r="H150" s="179"/>
      <c r="I150" s="179"/>
      <c r="J150" s="86" t="s">
        <v>40</v>
      </c>
      <c r="K150" s="86" t="s">
        <v>24</v>
      </c>
      <c r="L150" s="86"/>
      <c r="M150" s="86"/>
      <c r="N150" s="86"/>
      <c r="O150" s="86" t="s">
        <v>41</v>
      </c>
      <c r="P150" s="86"/>
      <c r="Q150" s="86"/>
      <c r="R150" s="86" t="s">
        <v>23</v>
      </c>
      <c r="S150" s="86"/>
      <c r="T150" s="86"/>
      <c r="U150" s="86" t="s">
        <v>22</v>
      </c>
    </row>
    <row r="151" spans="1:21" ht="18" customHeight="1" x14ac:dyDescent="0.2">
      <c r="A151" s="179"/>
      <c r="B151" s="179"/>
      <c r="C151" s="179"/>
      <c r="D151" s="179"/>
      <c r="E151" s="179"/>
      <c r="F151" s="179"/>
      <c r="G151" s="179"/>
      <c r="H151" s="179"/>
      <c r="I151" s="179"/>
      <c r="J151" s="86"/>
      <c r="K151" s="29" t="s">
        <v>28</v>
      </c>
      <c r="L151" s="29" t="s">
        <v>29</v>
      </c>
      <c r="M151" s="29" t="s">
        <v>122</v>
      </c>
      <c r="N151" s="29" t="s">
        <v>123</v>
      </c>
      <c r="O151" s="29" t="s">
        <v>33</v>
      </c>
      <c r="P151" s="29" t="s">
        <v>7</v>
      </c>
      <c r="Q151" s="29" t="s">
        <v>30</v>
      </c>
      <c r="R151" s="29" t="s">
        <v>31</v>
      </c>
      <c r="S151" s="29" t="s">
        <v>28</v>
      </c>
      <c r="T151" s="29" t="s">
        <v>32</v>
      </c>
      <c r="U151" s="86"/>
    </row>
    <row r="152" spans="1:21" ht="19.5" customHeight="1" x14ac:dyDescent="0.2">
      <c r="A152" s="83" t="s">
        <v>68</v>
      </c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5"/>
    </row>
    <row r="153" spans="1:21" x14ac:dyDescent="0.2">
      <c r="A153" s="32" t="str">
        <f>IF(ISNA(INDEX($A$36:$U$103,MATCH($B153,$B$36:$B$103,0),1)),"",INDEX($A$36:$U$103,MATCH($B153,$B$36:$B$103,0),1))</f>
        <v>MMG8153</v>
      </c>
      <c r="B153" s="87" t="s">
        <v>164</v>
      </c>
      <c r="C153" s="87"/>
      <c r="D153" s="87"/>
      <c r="E153" s="87"/>
      <c r="F153" s="87"/>
      <c r="G153" s="87"/>
      <c r="H153" s="87"/>
      <c r="I153" s="88"/>
      <c r="J153" s="19">
        <f>IF(ISNA(INDEX($A$36:$U$103,MATCH($B153,$B$36:$B$103,0),10)),"",INDEX($A$36:$U$103,MATCH($B153,$B$36:$B$103,0),10))</f>
        <v>8</v>
      </c>
      <c r="K153" s="19">
        <f>IF(ISNA(INDEX($A$36:$U$103,MATCH($B153,$B$36:$B$103,0),11)),"",INDEX($A$36:$U$103,MATCH($B153,$B$36:$B$103,0),11))</f>
        <v>2</v>
      </c>
      <c r="L153" s="19">
        <f>IF(ISNA(INDEX($A$36:$U$103,MATCH($B153,$B$36:$B$103,0),12)),"",INDEX($A$36:$U$103,MATCH($B153,$B$36:$B$103,0),12))</f>
        <v>1</v>
      </c>
      <c r="M153" s="19">
        <f>IF(ISNA(INDEX($A$36:$U$103,MATCH($B153,$B$36:$B$103,0),13)),"",INDEX($A$36:$U$103,MATCH($B153,$B$36:$B$103,0),13))</f>
        <v>0</v>
      </c>
      <c r="N153" s="19">
        <f>IF(ISNA(INDEX($A$36:$U$103,MATCH($B153,$B$36:$B$103,0),14)),"",INDEX($A$36:$U$103,MATCH($B153,$B$36:$B$103,0),14))</f>
        <v>1</v>
      </c>
      <c r="O153" s="19">
        <f>IF(ISNA(INDEX($A$36:$U$103,MATCH($B153,$B$36:$B$103,0),15)),"",INDEX($A$36:$U$103,MATCH($B153,$B$36:$B$103,0),15))</f>
        <v>4</v>
      </c>
      <c r="P153" s="19">
        <f>IF(ISNA(INDEX($A$36:$U$103,MATCH($B153,$B$36:$B$103,0),16)),"",INDEX($A$36:$U$103,MATCH($B153,$B$36:$B$103,0),16))</f>
        <v>10</v>
      </c>
      <c r="Q153" s="28">
        <f>IF(ISNA(INDEX($A$36:$U$103,MATCH($B153,$B$36:$B$103,0),17)),"",INDEX($A$36:$U$103,MATCH($B153,$B$36:$B$103,0),17))</f>
        <v>14</v>
      </c>
      <c r="R153" s="28" t="str">
        <f>IF(ISNA(INDEX($A$36:$U$103,MATCH($B153,$B$36:$B$103,0),18)),"",INDEX($A$36:$U$103,MATCH($B153,$B$36:$B$103,0),18))</f>
        <v>E</v>
      </c>
      <c r="S153" s="28"/>
      <c r="T153" s="28">
        <f>IF(ISNA(INDEX($A$36:$U$103,MATCH($B153,$B$36:$B$103,0),19)),"",INDEX($A$36:$U$103,MATCH($B153,$B$36:$B$103,0),19))</f>
        <v>0</v>
      </c>
      <c r="U153" s="18" t="s">
        <v>39</v>
      </c>
    </row>
    <row r="154" spans="1:21" x14ac:dyDescent="0.2">
      <c r="A154" s="32" t="str">
        <f>IF(ISNA(INDEX($A$36:$U$103,MATCH($B154,$B$36:$B$103,0),1)),"",INDEX($A$36:$U$103,MATCH($B154,$B$36:$B$103,0),1))</f>
        <v>MMG9016</v>
      </c>
      <c r="B154" s="77" t="s">
        <v>144</v>
      </c>
      <c r="C154" s="78"/>
      <c r="D154" s="78"/>
      <c r="E154" s="78"/>
      <c r="F154" s="78"/>
      <c r="G154" s="78"/>
      <c r="H154" s="78"/>
      <c r="I154" s="79"/>
      <c r="J154" s="19">
        <f>IF(ISNA(INDEX($A$36:$U$103,MATCH($B154,$B$36:$B$103,0),10)),"",INDEX($A$36:$U$103,MATCH($B154,$B$36:$B$103,0),10))</f>
        <v>4</v>
      </c>
      <c r="K154" s="19">
        <f>IF(ISNA(INDEX($A$36:$U$103,MATCH($B154,$B$36:$B$103,0),11)),"",INDEX($A$36:$U$103,MATCH($B154,$B$36:$B$103,0),11))</f>
        <v>0</v>
      </c>
      <c r="L154" s="19">
        <f>IF(ISNA(INDEX($A$36:$U$103,MATCH($B154,$B$36:$B$103,0),12)),"",INDEX($A$36:$U$103,MATCH($B154,$B$36:$B$103,0),12))</f>
        <v>2</v>
      </c>
      <c r="M154" s="19">
        <f>IF(ISNA(INDEX($A$36:$U$103,MATCH($B154,$B$36:$B$103,0),13)),"",INDEX($A$36:$U$103,MATCH($B154,$B$36:$B$103,0),13))</f>
        <v>1</v>
      </c>
      <c r="N154" s="19">
        <f>IF(ISNA(INDEX($A$36:$U$103,MATCH($B154,$B$36:$B$103,0),14)),"",INDEX($A$36:$U$103,MATCH($B154,$B$36:$B$103,0),14))</f>
        <v>1</v>
      </c>
      <c r="O154" s="19">
        <f>IF(ISNA(INDEX($A$36:$U$103,MATCH($B154,$B$36:$B$103,0),15)),"",INDEX($A$36:$U$103,MATCH($B154,$B$36:$B$103,0),15))</f>
        <v>4</v>
      </c>
      <c r="P154" s="19">
        <f>IF(ISNA(INDEX($A$36:$U$103,MATCH($B154,$B$36:$B$103,0),16)),"",INDEX($A$36:$U$103,MATCH($B154,$B$36:$B$103,0),16))</f>
        <v>3</v>
      </c>
      <c r="Q154" s="28">
        <f>IF(ISNA(INDEX($A$36:$U$103,MATCH($B154,$B$36:$B$103,0),17)),"",INDEX($A$36:$U$103,MATCH($B154,$B$36:$B$103,0),17))</f>
        <v>7</v>
      </c>
      <c r="R154" s="28" t="str">
        <f>IF(ISNA(INDEX($A$36:$U$103,MATCH($B154,$B$36:$B$103,0),18)),"",INDEX($A$36:$U$103,MATCH($B154,$B$36:$B$103,0),18))</f>
        <v>E</v>
      </c>
      <c r="S154" s="28"/>
      <c r="T154" s="28">
        <f>IF(ISNA(INDEX($A$36:$U$103,MATCH($B154,$B$36:$B$103,0),19)),"",INDEX($A$36:$U$103,MATCH($B154,$B$36:$B$103,0),19))</f>
        <v>0</v>
      </c>
      <c r="U154" s="18" t="s">
        <v>39</v>
      </c>
    </row>
    <row r="155" spans="1:21" x14ac:dyDescent="0.2">
      <c r="A155" s="32" t="str">
        <f>IF(ISNA(INDEX($A$36:$U$103,MATCH($B155,$B$36:$B$103,0),1)),"",INDEX($A$36:$U$103,MATCH($B155,$B$36:$B$103,0),1))</f>
        <v>MMG9107</v>
      </c>
      <c r="B155" s="77" t="s">
        <v>145</v>
      </c>
      <c r="C155" s="78"/>
      <c r="D155" s="78"/>
      <c r="E155" s="78"/>
      <c r="F155" s="78"/>
      <c r="G155" s="78"/>
      <c r="H155" s="78"/>
      <c r="I155" s="79"/>
      <c r="J155" s="19">
        <f>IF(ISNA(INDEX($A$36:$U$103,MATCH($B155,$B$36:$B$103,0),10)),"",INDEX($A$36:$U$103,MATCH($B155,$B$36:$B$103,0),10))</f>
        <v>4</v>
      </c>
      <c r="K155" s="19">
        <f>IF(ISNA(INDEX($A$36:$U$103,MATCH($B155,$B$36:$B$103,0),11)),"",INDEX($A$36:$U$103,MATCH($B155,$B$36:$B$103,0),11))</f>
        <v>0</v>
      </c>
      <c r="L155" s="19">
        <f>IF(ISNA(INDEX($A$36:$U$103,MATCH($B155,$B$36:$B$103,0),12)),"",INDEX($A$36:$U$103,MATCH($B155,$B$36:$B$103,0),12))</f>
        <v>2</v>
      </c>
      <c r="M155" s="19">
        <f>IF(ISNA(INDEX($A$36:$U$103,MATCH($B155,$B$36:$B$103,0),13)),"",INDEX($A$36:$U$103,MATCH($B155,$B$36:$B$103,0),13))</f>
        <v>1</v>
      </c>
      <c r="N155" s="19">
        <f>IF(ISNA(INDEX($A$36:$U$103,MATCH($B155,$B$36:$B$103,0),14)),"",INDEX($A$36:$U$103,MATCH($B155,$B$36:$B$103,0),14))</f>
        <v>1</v>
      </c>
      <c r="O155" s="19">
        <f>IF(ISNA(INDEX($A$36:$U$103,MATCH($B155,$B$36:$B$103,0),15)),"",INDEX($A$36:$U$103,MATCH($B155,$B$36:$B$103,0),15))</f>
        <v>4</v>
      </c>
      <c r="P155" s="19">
        <f>IF(ISNA(INDEX($A$36:$U$103,MATCH($B155,$B$36:$B$103,0),16)),"",INDEX($A$36:$U$103,MATCH($B155,$B$36:$B$103,0),16))</f>
        <v>3</v>
      </c>
      <c r="Q155" s="28">
        <f>IF(ISNA(INDEX($A$36:$U$103,MATCH($B155,$B$36:$B$103,0),17)),"",INDEX($A$36:$U$103,MATCH($B155,$B$36:$B$103,0),17))</f>
        <v>7</v>
      </c>
      <c r="R155" s="28" t="str">
        <f>IF(ISNA(INDEX($A$36:$U$103,MATCH($B155,$B$36:$B$103,0),18)),"",INDEX($A$36:$U$103,MATCH($B155,$B$36:$B$103,0),18))</f>
        <v>E</v>
      </c>
      <c r="S155" s="28"/>
      <c r="T155" s="28">
        <f>IF(ISNA(INDEX($A$36:$U$103,MATCH($B155,$B$36:$B$103,0),19)),"",INDEX($A$36:$U$103,MATCH($B155,$B$36:$B$103,0),19))</f>
        <v>0</v>
      </c>
      <c r="U155" s="18" t="s">
        <v>39</v>
      </c>
    </row>
    <row r="156" spans="1:21" x14ac:dyDescent="0.2">
      <c r="A156" s="32" t="str">
        <f>IF(ISNA(INDEX($A$36:$U$103,MATCH($B156,$B$36:$B$103,0),1)),"",INDEX($A$36:$U$103,MATCH($B156,$B$36:$B$103,0),1))</f>
        <v>MMG9108</v>
      </c>
      <c r="B156" s="80" t="s">
        <v>146</v>
      </c>
      <c r="C156" s="81"/>
      <c r="D156" s="81"/>
      <c r="E156" s="81"/>
      <c r="F156" s="81"/>
      <c r="G156" s="81"/>
      <c r="H156" s="81"/>
      <c r="I156" s="82"/>
      <c r="J156" s="19">
        <f>IF(ISNA(INDEX($A$36:$U$103,MATCH($B156,$B$36:$B$103,0),10)),"",INDEX($A$36:$U$103,MATCH($B156,$B$36:$B$103,0),10))</f>
        <v>4</v>
      </c>
      <c r="K156" s="19">
        <f>IF(ISNA(INDEX($A$36:$U$103,MATCH($B156,$B$36:$B$103,0),11)),"",INDEX($A$36:$U$103,MATCH($B156,$B$36:$B$103,0),11))</f>
        <v>0</v>
      </c>
      <c r="L156" s="19">
        <f>IF(ISNA(INDEX($A$36:$U$103,MATCH($B156,$B$36:$B$103,0),12)),"",INDEX($A$36:$U$103,MATCH($B156,$B$36:$B$103,0),12))</f>
        <v>2</v>
      </c>
      <c r="M156" s="19">
        <f>IF(ISNA(INDEX($A$36:$U$103,MATCH($B156,$B$36:$B$103,0),12)),"",INDEX($A$36:$U$103,MATCH($B156,$B$36:$B$103,0),12))</f>
        <v>2</v>
      </c>
      <c r="N156" s="19">
        <f>IF(ISNA(INDEX($A$36:$U$103,MATCH($B156,$B$36:$B$103,0),13)),"",INDEX($A$36:$U$103,MATCH($B156,$B$36:$B$103,0),13))</f>
        <v>1</v>
      </c>
      <c r="O156" s="19">
        <f>IF(ISNA(INDEX($A$36:$U$103,MATCH($B156,$B$36:$B$103,0),14)),"",INDEX($A$36:$U$103,MATCH($B156,$B$36:$B$103,0),14))</f>
        <v>1</v>
      </c>
      <c r="P156" s="19">
        <f>IF(ISNA(INDEX($A$36:$U$103,MATCH($B156,$B$36:$B$103,0),15)),"",INDEX($A$36:$U$103,MATCH($B156,$B$36:$B$103,0),15))</f>
        <v>4</v>
      </c>
      <c r="Q156" s="19">
        <f>IF(ISNA(INDEX($A$36:$U$103,MATCH($B156,$B$36:$B$103,0),16)),"",INDEX($A$36:$U$103,MATCH($B156,$B$36:$B$103,0),16))</f>
        <v>3</v>
      </c>
      <c r="R156" s="28">
        <f>IF(ISNA(INDEX($A$36:$U$103,MATCH($B156,$B$36:$B$103,0),17)),"",INDEX($A$36:$U$103,MATCH($B156,$B$36:$B$103,0),17))</f>
        <v>7</v>
      </c>
      <c r="S156" s="28" t="str">
        <f>IF(ISNA(INDEX($A$36:$U$103,MATCH($B156,$B$36:$B$103,0),18)),"",INDEX($A$36:$U$103,MATCH($B156,$B$36:$B$103,0),18))</f>
        <v>E</v>
      </c>
      <c r="T156" s="28">
        <f>IF(ISNA(INDEX($A$36:$U$103,MATCH($B156,$B$36:$B$103,0),19)),"",INDEX($A$36:$U$103,MATCH($B156,$B$36:$B$103,0),19))</f>
        <v>0</v>
      </c>
      <c r="U156" s="18" t="s">
        <v>39</v>
      </c>
    </row>
    <row r="157" spans="1:21" x14ac:dyDescent="0.2">
      <c r="A157" s="20" t="s">
        <v>25</v>
      </c>
      <c r="B157" s="89"/>
      <c r="C157" s="90"/>
      <c r="D157" s="90"/>
      <c r="E157" s="90"/>
      <c r="F157" s="90"/>
      <c r="G157" s="90"/>
      <c r="H157" s="90"/>
      <c r="I157" s="91"/>
      <c r="J157" s="22">
        <f>SUM(J153:J156)</f>
        <v>20</v>
      </c>
      <c r="K157" s="22">
        <f>SUM(K153:K156)</f>
        <v>2</v>
      </c>
      <c r="L157" s="22">
        <f>SUM(L156:L156)</f>
        <v>2</v>
      </c>
      <c r="M157" s="22">
        <f>SUM(M153:M156)</f>
        <v>4</v>
      </c>
      <c r="N157" s="22">
        <f>SUM(N153:N156)</f>
        <v>4</v>
      </c>
      <c r="O157" s="22">
        <f>SUM(O153:O156)</f>
        <v>13</v>
      </c>
      <c r="P157" s="22">
        <f>SUM(P153:P156)</f>
        <v>20</v>
      </c>
      <c r="Q157" s="22">
        <f>SUM(Q153:Q156)</f>
        <v>31</v>
      </c>
      <c r="R157" s="20">
        <f>COUNTIF(R153:R156,"E")</f>
        <v>3</v>
      </c>
      <c r="S157" s="20">
        <f>COUNTIF(S153:S156,"C")</f>
        <v>0</v>
      </c>
      <c r="T157" s="20">
        <f>COUNTIF(T153:T156,"VP")</f>
        <v>0</v>
      </c>
      <c r="U157" s="18"/>
    </row>
    <row r="158" spans="1:21" ht="19.5" customHeight="1" x14ac:dyDescent="0.2">
      <c r="A158" s="83" t="s">
        <v>70</v>
      </c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5"/>
    </row>
    <row r="159" spans="1:21" x14ac:dyDescent="0.2">
      <c r="A159" s="32" t="str">
        <f>IF(ISNA(INDEX($A$36:$U$103,MATCH($B159,$B$36:$B$103,0),1)),"",INDEX($A$36:$U$103,MATCH($B159,$B$36:$B$103,0),1))</f>
        <v/>
      </c>
      <c r="B159" s="178"/>
      <c r="C159" s="87"/>
      <c r="D159" s="87"/>
      <c r="E159" s="87"/>
      <c r="F159" s="87"/>
      <c r="G159" s="87"/>
      <c r="H159" s="87"/>
      <c r="I159" s="88"/>
      <c r="J159" s="19" t="str">
        <f>IF(ISNA(INDEX($A$36:$U$103,MATCH($B159,$B$36:$B$103,0),10)),"",INDEX($A$36:$U$103,MATCH($B159,$B$36:$B$103,0),10))</f>
        <v/>
      </c>
      <c r="K159" s="19" t="str">
        <f>IF(ISNA(INDEX($A$36:$U$103,MATCH($B159,$B$36:$B$103,0),11)),"",INDEX($A$36:$U$103,MATCH($B159,$B$36:$B$103,0),11))</f>
        <v/>
      </c>
      <c r="L159" s="19" t="str">
        <f>IF(ISNA(INDEX($A$36:$U$103,MATCH($B159,$B$36:$B$103,0),12)),"",INDEX($A$36:$U$103,MATCH($B159,$B$36:$B$103,0),12))</f>
        <v/>
      </c>
      <c r="M159" s="19" t="str">
        <f>IF(ISNA(INDEX($A$36:$U$103,MATCH($B159,$B$36:$B$103,0),12)),"",INDEX($A$36:$U$103,MATCH($B159,$B$36:$B$103,0),12))</f>
        <v/>
      </c>
      <c r="N159" s="19" t="str">
        <f>IF(ISNA(INDEX($A$36:$U$103,MATCH($B159,$B$36:$B$103,0),13)),"",INDEX($A$36:$U$103,MATCH($B159,$B$36:$B$103,0),13))</f>
        <v/>
      </c>
      <c r="O159" s="19" t="str">
        <f>IF(ISNA(INDEX($A$36:$U$103,MATCH($B159,$B$36:$B$103,0),14)),"",INDEX($A$36:$U$103,MATCH($B159,$B$36:$B$103,0),14))</f>
        <v/>
      </c>
      <c r="P159" s="19" t="str">
        <f>IF(ISNA(INDEX($A$36:$U$103,MATCH($B159,$B$36:$B$103,0),15)),"",INDEX($A$36:$U$103,MATCH($B159,$B$36:$B$103,0),15))</f>
        <v/>
      </c>
      <c r="Q159" s="19" t="str">
        <f>IF(ISNA(INDEX($A$36:$U$103,MATCH($B159,$B$36:$B$103,0),16)),"",INDEX($A$36:$U$103,MATCH($B159,$B$36:$B$103,0),16))</f>
        <v/>
      </c>
      <c r="R159" s="28" t="str">
        <f>IF(ISNA(INDEX($A$36:$U$103,MATCH($B159,$B$36:$B$103,0),17)),"",INDEX($A$36:$U$103,MATCH($B159,$B$36:$B$103,0),17))</f>
        <v/>
      </c>
      <c r="S159" s="28" t="str">
        <f>IF(ISNA(INDEX($A$36:$U$103,MATCH($B159,$B$36:$B$103,0),18)),"",INDEX($A$36:$U$103,MATCH($B159,$B$36:$B$103,0),18))</f>
        <v/>
      </c>
      <c r="T159" s="28" t="str">
        <f>IF(ISNA(INDEX($A$36:$U$103,MATCH($B159,$B$36:$B$103,0),19)),"",INDEX($A$36:$U$103,MATCH($B159,$B$36:$B$103,0),19))</f>
        <v/>
      </c>
      <c r="U159" s="18" t="s">
        <v>39</v>
      </c>
    </row>
    <row r="160" spans="1:21" x14ac:dyDescent="0.2">
      <c r="A160" s="32" t="str">
        <f>IF(ISNA(INDEX($A$36:$U$103,MATCH($B160,$B$36:$B$103,0),1)),"",INDEX($A$36:$U$103,MATCH($B160,$B$36:$B$103,0),1))</f>
        <v/>
      </c>
      <c r="B160" s="178"/>
      <c r="C160" s="87"/>
      <c r="D160" s="87"/>
      <c r="E160" s="87"/>
      <c r="F160" s="87"/>
      <c r="G160" s="87"/>
      <c r="H160" s="87"/>
      <c r="I160" s="88"/>
      <c r="J160" s="19" t="str">
        <f>IF(ISNA(INDEX($A$36:$U$103,MATCH($B160,$B$36:$B$103,0),10)),"",INDEX($A$36:$U$103,MATCH($B160,$B$36:$B$103,0),10))</f>
        <v/>
      </c>
      <c r="K160" s="19" t="str">
        <f>IF(ISNA(INDEX($A$36:$U$103,MATCH($B160,$B$36:$B$103,0),11)),"",INDEX($A$36:$U$103,MATCH($B160,$B$36:$B$103,0),11))</f>
        <v/>
      </c>
      <c r="L160" s="19" t="str">
        <f>IF(ISNA(INDEX($A$36:$U$103,MATCH($B160,$B$36:$B$103,0),12)),"",INDEX($A$36:$U$103,MATCH($B160,$B$36:$B$103,0),12))</f>
        <v/>
      </c>
      <c r="M160" s="19" t="str">
        <f>IF(ISNA(INDEX($A$36:$U$103,MATCH($B160,$B$36:$B$103,0),12)),"",INDEX($A$36:$U$103,MATCH($B160,$B$36:$B$103,0),12))</f>
        <v/>
      </c>
      <c r="N160" s="19" t="str">
        <f>IF(ISNA(INDEX($A$36:$U$103,MATCH($B160,$B$36:$B$103,0),13)),"",INDEX($A$36:$U$103,MATCH($B160,$B$36:$B$103,0),13))</f>
        <v/>
      </c>
      <c r="O160" s="19" t="str">
        <f>IF(ISNA(INDEX($A$36:$U$103,MATCH($B160,$B$36:$B$103,0),14)),"",INDEX($A$36:$U$103,MATCH($B160,$B$36:$B$103,0),14))</f>
        <v/>
      </c>
      <c r="P160" s="19" t="str">
        <f>IF(ISNA(INDEX($A$36:$U$103,MATCH($B160,$B$36:$B$103,0),15)),"",INDEX($A$36:$U$103,MATCH($B160,$B$36:$B$103,0),15))</f>
        <v/>
      </c>
      <c r="Q160" s="19" t="str">
        <f>IF(ISNA(INDEX($A$36:$U$103,MATCH($B160,$B$36:$B$103,0),16)),"",INDEX($A$36:$U$103,MATCH($B160,$B$36:$B$103,0),16))</f>
        <v/>
      </c>
      <c r="R160" s="28" t="str">
        <f>IF(ISNA(INDEX($A$36:$U$103,MATCH($B160,$B$36:$B$103,0),17)),"",INDEX($A$36:$U$103,MATCH($B160,$B$36:$B$103,0),17))</f>
        <v/>
      </c>
      <c r="S160" s="28" t="str">
        <f>IF(ISNA(INDEX($A$36:$U$103,MATCH($B160,$B$36:$B$103,0),18)),"",INDEX($A$36:$U$103,MATCH($B160,$B$36:$B$103,0),18))</f>
        <v/>
      </c>
      <c r="T160" s="28" t="str">
        <f>IF(ISNA(INDEX($A$36:$U$103,MATCH($B160,$B$36:$B$103,0),19)),"",INDEX($A$36:$U$103,MATCH($B160,$B$36:$B$103,0),19))</f>
        <v/>
      </c>
      <c r="U160" s="18" t="s">
        <v>39</v>
      </c>
    </row>
    <row r="161" spans="1:25" x14ac:dyDescent="0.2">
      <c r="A161" s="20" t="s">
        <v>25</v>
      </c>
      <c r="B161" s="179"/>
      <c r="C161" s="179"/>
      <c r="D161" s="179"/>
      <c r="E161" s="179"/>
      <c r="F161" s="179"/>
      <c r="G161" s="179"/>
      <c r="H161" s="179"/>
      <c r="I161" s="179"/>
      <c r="J161" s="22">
        <f t="shared" ref="J161:Q161" si="24">SUM(J159:J160)</f>
        <v>0</v>
      </c>
      <c r="K161" s="22">
        <f t="shared" si="24"/>
        <v>0</v>
      </c>
      <c r="L161" s="22">
        <f t="shared" si="24"/>
        <v>0</v>
      </c>
      <c r="M161" s="22">
        <f t="shared" si="24"/>
        <v>0</v>
      </c>
      <c r="N161" s="22">
        <f t="shared" si="24"/>
        <v>0</v>
      </c>
      <c r="O161" s="22">
        <f t="shared" si="24"/>
        <v>0</v>
      </c>
      <c r="P161" s="22">
        <f t="shared" si="24"/>
        <v>0</v>
      </c>
      <c r="Q161" s="22">
        <f t="shared" si="24"/>
        <v>0</v>
      </c>
      <c r="R161" s="20">
        <f>COUNTIF(R159:R160,"E")</f>
        <v>0</v>
      </c>
      <c r="S161" s="20">
        <f>COUNTIF(S159:S160,"C")</f>
        <v>0</v>
      </c>
      <c r="T161" s="20">
        <f>COUNTIF(T159:T160,"VP")</f>
        <v>0</v>
      </c>
      <c r="U161" s="21"/>
    </row>
    <row r="162" spans="1:25" ht="27.75" customHeight="1" x14ac:dyDescent="0.2">
      <c r="A162" s="158" t="s">
        <v>52</v>
      </c>
      <c r="B162" s="159"/>
      <c r="C162" s="159"/>
      <c r="D162" s="159"/>
      <c r="E162" s="159"/>
      <c r="F162" s="159"/>
      <c r="G162" s="159"/>
      <c r="H162" s="159"/>
      <c r="I162" s="160"/>
      <c r="J162" s="22">
        <f t="shared" ref="J162:T162" si="25">SUM(J157,J161)</f>
        <v>20</v>
      </c>
      <c r="K162" s="22">
        <f t="shared" si="25"/>
        <v>2</v>
      </c>
      <c r="L162" s="22">
        <f t="shared" si="25"/>
        <v>2</v>
      </c>
      <c r="M162" s="22">
        <f t="shared" si="25"/>
        <v>4</v>
      </c>
      <c r="N162" s="22">
        <f t="shared" si="25"/>
        <v>4</v>
      </c>
      <c r="O162" s="22">
        <f t="shared" si="25"/>
        <v>13</v>
      </c>
      <c r="P162" s="22">
        <f t="shared" si="25"/>
        <v>20</v>
      </c>
      <c r="Q162" s="22">
        <f t="shared" si="25"/>
        <v>31</v>
      </c>
      <c r="R162" s="22">
        <f t="shared" si="25"/>
        <v>3</v>
      </c>
      <c r="S162" s="22">
        <f t="shared" si="25"/>
        <v>0</v>
      </c>
      <c r="T162" s="22">
        <f t="shared" si="25"/>
        <v>0</v>
      </c>
      <c r="U162" s="60">
        <v>0.22220000000000001</v>
      </c>
    </row>
    <row r="163" spans="1:25" ht="17.25" customHeight="1" x14ac:dyDescent="0.2">
      <c r="A163" s="161" t="s">
        <v>53</v>
      </c>
      <c r="B163" s="162"/>
      <c r="C163" s="162"/>
      <c r="D163" s="162"/>
      <c r="E163" s="162"/>
      <c r="F163" s="162"/>
      <c r="G163" s="162"/>
      <c r="H163" s="162"/>
      <c r="I163" s="162"/>
      <c r="J163" s="163"/>
      <c r="K163" s="22">
        <f t="shared" ref="K163:Q163" si="26">K157*14+K161*12</f>
        <v>28</v>
      </c>
      <c r="L163" s="22">
        <f t="shared" si="26"/>
        <v>28</v>
      </c>
      <c r="M163" s="22">
        <f t="shared" si="26"/>
        <v>56</v>
      </c>
      <c r="N163" s="22">
        <f t="shared" si="26"/>
        <v>56</v>
      </c>
      <c r="O163" s="22">
        <f t="shared" si="26"/>
        <v>182</v>
      </c>
      <c r="P163" s="22">
        <f t="shared" si="26"/>
        <v>280</v>
      </c>
      <c r="Q163" s="22">
        <f t="shared" si="26"/>
        <v>434</v>
      </c>
      <c r="R163" s="152"/>
      <c r="S163" s="153"/>
      <c r="T163" s="153"/>
      <c r="U163" s="154"/>
    </row>
    <row r="164" spans="1:25" x14ac:dyDescent="0.2">
      <c r="A164" s="164"/>
      <c r="B164" s="165"/>
      <c r="C164" s="165"/>
      <c r="D164" s="165"/>
      <c r="E164" s="165"/>
      <c r="F164" s="165"/>
      <c r="G164" s="165"/>
      <c r="H164" s="165"/>
      <c r="I164" s="165"/>
      <c r="J164" s="166"/>
      <c r="K164" s="125">
        <f>SUM(K163:N163)</f>
        <v>168</v>
      </c>
      <c r="L164" s="126"/>
      <c r="M164" s="126"/>
      <c r="N164" s="127"/>
      <c r="O164" s="128">
        <f>SUM(O163:P163)</f>
        <v>462</v>
      </c>
      <c r="P164" s="129"/>
      <c r="Q164" s="130"/>
      <c r="R164" s="155"/>
      <c r="S164" s="156"/>
      <c r="T164" s="156"/>
      <c r="U164" s="157"/>
    </row>
    <row r="165" spans="1:25" ht="8.25" customHeight="1" x14ac:dyDescent="0.2"/>
    <row r="166" spans="1:25" x14ac:dyDescent="0.2">
      <c r="B166" s="8"/>
      <c r="C166" s="8"/>
      <c r="D166" s="8"/>
      <c r="E166" s="8"/>
      <c r="F166" s="8"/>
      <c r="G166" s="8"/>
      <c r="H166" s="16"/>
      <c r="I166" s="16"/>
      <c r="J166" s="16"/>
      <c r="N166" s="8"/>
      <c r="O166" s="8"/>
      <c r="P166" s="8"/>
      <c r="Q166" s="8"/>
      <c r="R166" s="8"/>
      <c r="S166" s="8"/>
      <c r="T166" s="8"/>
    </row>
    <row r="169" spans="1:25" x14ac:dyDescent="0.2">
      <c r="A169" s="181" t="s">
        <v>65</v>
      </c>
      <c r="B169" s="181"/>
    </row>
    <row r="170" spans="1:25" x14ac:dyDescent="0.2">
      <c r="A170" s="183" t="s">
        <v>27</v>
      </c>
      <c r="B170" s="185" t="s">
        <v>57</v>
      </c>
      <c r="C170" s="186"/>
      <c r="D170" s="186"/>
      <c r="E170" s="186"/>
      <c r="F170" s="186"/>
      <c r="G170" s="187"/>
      <c r="H170" s="185" t="s">
        <v>60</v>
      </c>
      <c r="I170" s="187"/>
      <c r="J170" s="191" t="s">
        <v>61</v>
      </c>
      <c r="K170" s="192"/>
      <c r="L170" s="192"/>
      <c r="M170" s="192"/>
      <c r="N170" s="192"/>
      <c r="O170" s="192"/>
      <c r="P170" s="193"/>
      <c r="Q170" s="185" t="s">
        <v>51</v>
      </c>
      <c r="R170" s="187"/>
      <c r="S170" s="191" t="s">
        <v>62</v>
      </c>
      <c r="T170" s="192"/>
      <c r="U170" s="193"/>
    </row>
    <row r="171" spans="1:25" x14ac:dyDescent="0.2">
      <c r="A171" s="184"/>
      <c r="B171" s="188"/>
      <c r="C171" s="189"/>
      <c r="D171" s="189"/>
      <c r="E171" s="189"/>
      <c r="F171" s="189"/>
      <c r="G171" s="190"/>
      <c r="H171" s="188"/>
      <c r="I171" s="190"/>
      <c r="J171" s="191" t="s">
        <v>33</v>
      </c>
      <c r="K171" s="193"/>
      <c r="L171" s="191" t="s">
        <v>7</v>
      </c>
      <c r="M171" s="192"/>
      <c r="N171" s="193"/>
      <c r="O171" s="191" t="s">
        <v>30</v>
      </c>
      <c r="P171" s="193"/>
      <c r="Q171" s="188"/>
      <c r="R171" s="190"/>
      <c r="S171" s="35" t="s">
        <v>63</v>
      </c>
      <c r="T171" s="35" t="s">
        <v>64</v>
      </c>
      <c r="U171" s="35" t="s">
        <v>51</v>
      </c>
    </row>
    <row r="172" spans="1:25" x14ac:dyDescent="0.2">
      <c r="A172" s="35">
        <v>1</v>
      </c>
      <c r="B172" s="191" t="s">
        <v>58</v>
      </c>
      <c r="C172" s="192"/>
      <c r="D172" s="192"/>
      <c r="E172" s="192"/>
      <c r="F172" s="192"/>
      <c r="G172" s="193"/>
      <c r="H172" s="196">
        <f>J172</f>
        <v>918</v>
      </c>
      <c r="I172" s="196"/>
      <c r="J172" s="197">
        <f>SUM((O44+O54+O64)*14+(O72*12)-J173)</f>
        <v>918</v>
      </c>
      <c r="K172" s="198"/>
      <c r="L172" s="197">
        <f>SUM((P44+P54+P64)*14+(P72*12)-L173)</f>
        <v>1546</v>
      </c>
      <c r="M172" s="199"/>
      <c r="N172" s="198"/>
      <c r="O172" s="200">
        <f>SUM(J172:N172)</f>
        <v>2464</v>
      </c>
      <c r="P172" s="201"/>
      <c r="Q172" s="202">
        <f>H172/H174</f>
        <v>0.84530386740331487</v>
      </c>
      <c r="R172" s="203"/>
      <c r="S172" s="36">
        <f>J44+J54-S173</f>
        <v>46</v>
      </c>
      <c r="T172" s="36">
        <f>J64+J72-T173</f>
        <v>53</v>
      </c>
      <c r="U172" s="61">
        <f>SUM(S172:T172)/SUM(S174:T174)</f>
        <v>0.82499999999999996</v>
      </c>
    </row>
    <row r="173" spans="1:25" x14ac:dyDescent="0.2">
      <c r="A173" s="35">
        <v>2</v>
      </c>
      <c r="B173" s="191" t="s">
        <v>59</v>
      </c>
      <c r="C173" s="192"/>
      <c r="D173" s="192"/>
      <c r="E173" s="192"/>
      <c r="F173" s="192"/>
      <c r="G173" s="193"/>
      <c r="H173" s="196">
        <f>J173</f>
        <v>168</v>
      </c>
      <c r="I173" s="196"/>
      <c r="J173" s="204">
        <f>O95</f>
        <v>168</v>
      </c>
      <c r="K173" s="205"/>
      <c r="L173" s="204">
        <f>P95</f>
        <v>378</v>
      </c>
      <c r="M173" s="171"/>
      <c r="N173" s="205"/>
      <c r="O173" s="206">
        <f>SUM(J173:N173)</f>
        <v>546</v>
      </c>
      <c r="P173" s="201"/>
      <c r="Q173" s="202">
        <f>H173/H174</f>
        <v>0.15469613259668508</v>
      </c>
      <c r="R173" s="203"/>
      <c r="S173" s="17">
        <v>14</v>
      </c>
      <c r="T173" s="17">
        <v>7</v>
      </c>
      <c r="U173" s="63">
        <f>SUM(S173:T173)/SUM(S174:T174)</f>
        <v>0.17499999999999999</v>
      </c>
      <c r="V173" s="94" t="str">
        <f>IF(O173=Q95,"Corect","Nu corespunde cu tabelul de opționale")</f>
        <v>Corect</v>
      </c>
      <c r="W173" s="95"/>
      <c r="X173" s="95"/>
      <c r="Y173" s="95"/>
    </row>
    <row r="174" spans="1:25" x14ac:dyDescent="0.2">
      <c r="A174" s="191" t="s">
        <v>25</v>
      </c>
      <c r="B174" s="192"/>
      <c r="C174" s="192"/>
      <c r="D174" s="192"/>
      <c r="E174" s="192"/>
      <c r="F174" s="192"/>
      <c r="G174" s="193"/>
      <c r="H174" s="86">
        <f>SUM(H172:I173)</f>
        <v>1086</v>
      </c>
      <c r="I174" s="86"/>
      <c r="J174" s="86">
        <f>SUM(J172:K173)</f>
        <v>1086</v>
      </c>
      <c r="K174" s="86"/>
      <c r="L174" s="83">
        <f>SUM(L172:N173)</f>
        <v>1924</v>
      </c>
      <c r="M174" s="84"/>
      <c r="N174" s="85"/>
      <c r="O174" s="83">
        <f>SUM(O172:P173)</f>
        <v>3010</v>
      </c>
      <c r="P174" s="85"/>
      <c r="Q174" s="194">
        <f>SUM(Q172:R173)</f>
        <v>1</v>
      </c>
      <c r="R174" s="195"/>
      <c r="S174" s="37">
        <f>SUM(S172:S173)</f>
        <v>60</v>
      </c>
      <c r="T174" s="37">
        <f>SUM(T172:T173)</f>
        <v>60</v>
      </c>
      <c r="U174" s="62">
        <f>SUM(U172:U173)</f>
        <v>1</v>
      </c>
    </row>
    <row r="176" spans="1:25" x14ac:dyDescent="0.2">
      <c r="A176" s="73" t="s">
        <v>87</v>
      </c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</row>
    <row r="178" spans="1:35" ht="12.75" customHeight="1" x14ac:dyDescent="0.2">
      <c r="A178" s="74" t="s">
        <v>81</v>
      </c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213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</row>
    <row r="179" spans="1:35" ht="27.75" customHeight="1" x14ac:dyDescent="0.2">
      <c r="A179" s="74" t="s">
        <v>27</v>
      </c>
      <c r="B179" s="74" t="s">
        <v>26</v>
      </c>
      <c r="C179" s="74"/>
      <c r="D179" s="74"/>
      <c r="E179" s="74"/>
      <c r="F179" s="74"/>
      <c r="G179" s="74"/>
      <c r="H179" s="74"/>
      <c r="I179" s="74"/>
      <c r="J179" s="75" t="s">
        <v>40</v>
      </c>
      <c r="K179" s="75" t="s">
        <v>24</v>
      </c>
      <c r="L179" s="75"/>
      <c r="M179" s="75"/>
      <c r="N179" s="75"/>
      <c r="O179" s="75" t="s">
        <v>41</v>
      </c>
      <c r="P179" s="76"/>
      <c r="Q179" s="76"/>
      <c r="R179" s="75" t="s">
        <v>23</v>
      </c>
      <c r="S179" s="75"/>
      <c r="T179" s="75"/>
      <c r="U179" s="75" t="s">
        <v>22</v>
      </c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31"/>
      <c r="AH179" s="131"/>
      <c r="AI179" s="131"/>
    </row>
    <row r="180" spans="1:35" x14ac:dyDescent="0.2">
      <c r="A180" s="74"/>
      <c r="B180" s="74"/>
      <c r="C180" s="74"/>
      <c r="D180" s="74"/>
      <c r="E180" s="74"/>
      <c r="F180" s="74"/>
      <c r="G180" s="74"/>
      <c r="H180" s="74"/>
      <c r="I180" s="74"/>
      <c r="J180" s="75"/>
      <c r="K180" s="5" t="s">
        <v>28</v>
      </c>
      <c r="L180" s="5" t="s">
        <v>29</v>
      </c>
      <c r="M180" s="5" t="s">
        <v>122</v>
      </c>
      <c r="N180" s="5" t="s">
        <v>123</v>
      </c>
      <c r="O180" s="5" t="s">
        <v>33</v>
      </c>
      <c r="P180" s="5" t="s">
        <v>7</v>
      </c>
      <c r="Q180" s="5" t="s">
        <v>30</v>
      </c>
      <c r="R180" s="5" t="s">
        <v>31</v>
      </c>
      <c r="S180" s="5" t="s">
        <v>28</v>
      </c>
      <c r="T180" s="5" t="s">
        <v>32</v>
      </c>
      <c r="U180" s="75"/>
      <c r="V180" s="131"/>
      <c r="W180" s="131"/>
      <c r="X180" s="131"/>
      <c r="Y180" s="131"/>
      <c r="Z180" s="131"/>
      <c r="AA180" s="131"/>
      <c r="AB180" s="131"/>
      <c r="AC180" s="131"/>
      <c r="AD180" s="131"/>
      <c r="AE180" s="131"/>
      <c r="AF180" s="131"/>
      <c r="AG180" s="131"/>
      <c r="AH180" s="131"/>
      <c r="AI180" s="131"/>
    </row>
    <row r="181" spans="1:35" x14ac:dyDescent="0.2">
      <c r="A181" s="235" t="s">
        <v>82</v>
      </c>
      <c r="B181" s="235"/>
      <c r="C181" s="235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  <c r="R181" s="235"/>
      <c r="S181" s="235"/>
      <c r="T181" s="235"/>
      <c r="U181" s="235"/>
      <c r="V181" s="131"/>
      <c r="W181" s="131"/>
      <c r="X181" s="131"/>
      <c r="Y181" s="131"/>
      <c r="Z181" s="131"/>
      <c r="AA181" s="131"/>
      <c r="AB181" s="131"/>
      <c r="AC181" s="131"/>
      <c r="AD181" s="131"/>
      <c r="AE181" s="131"/>
      <c r="AF181" s="131"/>
      <c r="AG181" s="131"/>
      <c r="AH181" s="131"/>
      <c r="AI181" s="131"/>
    </row>
    <row r="182" spans="1:35" x14ac:dyDescent="0.2">
      <c r="A182" s="42" t="s">
        <v>75</v>
      </c>
      <c r="B182" s="208" t="s">
        <v>88</v>
      </c>
      <c r="C182" s="208"/>
      <c r="D182" s="208"/>
      <c r="E182" s="208"/>
      <c r="F182" s="208"/>
      <c r="G182" s="208"/>
      <c r="H182" s="208"/>
      <c r="I182" s="208"/>
      <c r="J182" s="39">
        <v>5</v>
      </c>
      <c r="K182" s="39">
        <v>2</v>
      </c>
      <c r="L182" s="39">
        <v>1</v>
      </c>
      <c r="M182" s="39">
        <v>0</v>
      </c>
      <c r="N182" s="39">
        <v>0</v>
      </c>
      <c r="O182" s="40">
        <f>K182+L182+N182</f>
        <v>3</v>
      </c>
      <c r="P182" s="40">
        <f>Q182-O182</f>
        <v>6</v>
      </c>
      <c r="Q182" s="40">
        <f>ROUND(PRODUCT(J182,25)/14,0)</f>
        <v>9</v>
      </c>
      <c r="R182" s="39" t="s">
        <v>31</v>
      </c>
      <c r="S182" s="39"/>
      <c r="T182" s="41"/>
      <c r="U182" s="41" t="s">
        <v>36</v>
      </c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  <c r="AF182" s="131"/>
      <c r="AG182" s="131"/>
      <c r="AH182" s="131"/>
      <c r="AI182" s="131"/>
    </row>
    <row r="183" spans="1:35" x14ac:dyDescent="0.2">
      <c r="A183" s="42" t="s">
        <v>76</v>
      </c>
      <c r="B183" s="208" t="s">
        <v>89</v>
      </c>
      <c r="C183" s="208"/>
      <c r="D183" s="208"/>
      <c r="E183" s="208"/>
      <c r="F183" s="208"/>
      <c r="G183" s="208"/>
      <c r="H183" s="208"/>
      <c r="I183" s="208"/>
      <c r="J183" s="39">
        <v>5</v>
      </c>
      <c r="K183" s="39">
        <v>2</v>
      </c>
      <c r="L183" s="39">
        <v>1</v>
      </c>
      <c r="M183" s="39">
        <v>0</v>
      </c>
      <c r="N183" s="39">
        <v>0</v>
      </c>
      <c r="O183" s="40">
        <f>K183+L183+N183</f>
        <v>3</v>
      </c>
      <c r="P183" s="40">
        <f>Q183-O183</f>
        <v>6</v>
      </c>
      <c r="Q183" s="40">
        <f>ROUND(PRODUCT(J183,25)/14,0)</f>
        <v>9</v>
      </c>
      <c r="R183" s="39" t="s">
        <v>31</v>
      </c>
      <c r="S183" s="39"/>
      <c r="T183" s="41"/>
      <c r="U183" s="41" t="s">
        <v>36</v>
      </c>
      <c r="V183" s="131"/>
      <c r="W183" s="131"/>
      <c r="X183" s="131"/>
      <c r="Y183" s="131"/>
      <c r="Z183" s="131"/>
      <c r="AA183" s="131"/>
      <c r="AB183" s="131"/>
      <c r="AC183" s="131"/>
      <c r="AD183" s="131"/>
      <c r="AE183" s="131"/>
      <c r="AF183" s="131"/>
      <c r="AG183" s="131"/>
      <c r="AH183" s="131"/>
      <c r="AI183" s="131"/>
    </row>
    <row r="184" spans="1:35" x14ac:dyDescent="0.2">
      <c r="A184" s="214" t="s">
        <v>83</v>
      </c>
      <c r="B184" s="215"/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15"/>
      <c r="U184" s="216"/>
      <c r="V184" s="131"/>
      <c r="W184" s="131"/>
      <c r="X184" s="131"/>
      <c r="Y184" s="131"/>
      <c r="Z184" s="131"/>
      <c r="AA184" s="131"/>
      <c r="AB184" s="131"/>
      <c r="AC184" s="131"/>
      <c r="AD184" s="131"/>
      <c r="AE184" s="131"/>
      <c r="AF184" s="131"/>
      <c r="AG184" s="131"/>
      <c r="AH184" s="131"/>
      <c r="AI184" s="131"/>
    </row>
    <row r="185" spans="1:35" ht="36" customHeight="1" x14ac:dyDescent="0.2">
      <c r="A185" s="42" t="s">
        <v>77</v>
      </c>
      <c r="B185" s="209" t="s">
        <v>103</v>
      </c>
      <c r="C185" s="210"/>
      <c r="D185" s="210"/>
      <c r="E185" s="210"/>
      <c r="F185" s="210"/>
      <c r="G185" s="210"/>
      <c r="H185" s="210"/>
      <c r="I185" s="211"/>
      <c r="J185" s="39">
        <v>5</v>
      </c>
      <c r="K185" s="39">
        <v>2</v>
      </c>
      <c r="L185" s="39">
        <v>1</v>
      </c>
      <c r="M185" s="39">
        <v>0</v>
      </c>
      <c r="N185" s="39">
        <v>0</v>
      </c>
      <c r="O185" s="40">
        <f>K185+L185+N185</f>
        <v>3</v>
      </c>
      <c r="P185" s="40">
        <f>Q185-O185</f>
        <v>6</v>
      </c>
      <c r="Q185" s="40">
        <f>ROUND(PRODUCT(J185,25)/14,0)</f>
        <v>9</v>
      </c>
      <c r="R185" s="39" t="s">
        <v>31</v>
      </c>
      <c r="S185" s="39"/>
      <c r="T185" s="41"/>
      <c r="U185" s="41" t="s">
        <v>90</v>
      </c>
      <c r="V185" s="131"/>
      <c r="W185" s="131"/>
      <c r="X185" s="131"/>
      <c r="Y185" s="131"/>
      <c r="Z185" s="131"/>
      <c r="AA185" s="131"/>
      <c r="AB185" s="131"/>
      <c r="AC185" s="131"/>
      <c r="AD185" s="131"/>
      <c r="AE185" s="131"/>
      <c r="AF185" s="131"/>
      <c r="AG185" s="131"/>
      <c r="AH185" s="131"/>
      <c r="AI185" s="131"/>
    </row>
    <row r="186" spans="1:35" ht="15" customHeight="1" x14ac:dyDescent="0.2">
      <c r="A186" s="42" t="s">
        <v>78</v>
      </c>
      <c r="B186" s="209" t="s">
        <v>104</v>
      </c>
      <c r="C186" s="210"/>
      <c r="D186" s="210"/>
      <c r="E186" s="210"/>
      <c r="F186" s="210"/>
      <c r="G186" s="210"/>
      <c r="H186" s="210"/>
      <c r="I186" s="211"/>
      <c r="J186" s="39">
        <v>5</v>
      </c>
      <c r="K186" s="39">
        <v>1</v>
      </c>
      <c r="L186" s="39">
        <v>2</v>
      </c>
      <c r="M186" s="39">
        <v>0</v>
      </c>
      <c r="N186" s="39">
        <v>0</v>
      </c>
      <c r="O186" s="40">
        <f>K186+L186+N186</f>
        <v>3</v>
      </c>
      <c r="P186" s="40">
        <f>Q186-O186</f>
        <v>6</v>
      </c>
      <c r="Q186" s="40">
        <f>ROUND(PRODUCT(J186,25)/14,0)</f>
        <v>9</v>
      </c>
      <c r="R186" s="39" t="s">
        <v>31</v>
      </c>
      <c r="S186" s="39"/>
      <c r="T186" s="41"/>
      <c r="U186" s="41" t="s">
        <v>91</v>
      </c>
      <c r="V186" s="131"/>
      <c r="W186" s="131"/>
      <c r="X186" s="131"/>
      <c r="Y186" s="131"/>
      <c r="Z186" s="131"/>
      <c r="AA186" s="131"/>
      <c r="AB186" s="131"/>
      <c r="AC186" s="131"/>
      <c r="AD186" s="131"/>
      <c r="AE186" s="131"/>
      <c r="AF186" s="131"/>
      <c r="AG186" s="131"/>
      <c r="AH186" s="131"/>
      <c r="AI186" s="131"/>
    </row>
    <row r="187" spans="1:35" x14ac:dyDescent="0.2">
      <c r="A187" s="214" t="s">
        <v>84</v>
      </c>
      <c r="B187" s="215"/>
      <c r="C187" s="215"/>
      <c r="D187" s="215"/>
      <c r="E187" s="215"/>
      <c r="F187" s="215"/>
      <c r="G187" s="215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15"/>
      <c r="T187" s="215"/>
      <c r="U187" s="216"/>
      <c r="V187" s="131"/>
      <c r="W187" s="131"/>
      <c r="X187" s="131"/>
      <c r="Y187" s="131"/>
      <c r="Z187" s="131"/>
      <c r="AA187" s="131"/>
      <c r="AB187" s="131"/>
      <c r="AC187" s="131"/>
      <c r="AD187" s="131"/>
      <c r="AE187" s="131"/>
      <c r="AF187" s="131"/>
      <c r="AG187" s="131"/>
      <c r="AH187" s="131"/>
      <c r="AI187" s="131"/>
    </row>
    <row r="188" spans="1:35" ht="29.25" customHeight="1" x14ac:dyDescent="0.2">
      <c r="A188" s="42" t="s">
        <v>93</v>
      </c>
      <c r="B188" s="209" t="s">
        <v>92</v>
      </c>
      <c r="C188" s="210"/>
      <c r="D188" s="210"/>
      <c r="E188" s="210"/>
      <c r="F188" s="210"/>
      <c r="G188" s="210"/>
      <c r="H188" s="210"/>
      <c r="I188" s="211"/>
      <c r="J188" s="39">
        <v>5</v>
      </c>
      <c r="K188" s="39">
        <v>0</v>
      </c>
      <c r="L188" s="39">
        <v>0</v>
      </c>
      <c r="M188" s="39">
        <v>3</v>
      </c>
      <c r="N188" s="39">
        <v>0</v>
      </c>
      <c r="O188" s="40">
        <f>K188+L188+N188</f>
        <v>0</v>
      </c>
      <c r="P188" s="40">
        <f>Q188-O188</f>
        <v>9</v>
      </c>
      <c r="Q188" s="40">
        <f>ROUND(PRODUCT(J188,25)/14,0)</f>
        <v>9</v>
      </c>
      <c r="R188" s="39"/>
      <c r="S188" s="39" t="s">
        <v>28</v>
      </c>
      <c r="T188" s="41"/>
      <c r="U188" s="41" t="s">
        <v>90</v>
      </c>
      <c r="V188" s="131"/>
      <c r="W188" s="131"/>
      <c r="X188" s="131"/>
      <c r="Y188" s="131"/>
      <c r="Z188" s="131"/>
      <c r="AA188" s="131"/>
      <c r="AB188" s="131"/>
      <c r="AC188" s="131"/>
      <c r="AD188" s="131"/>
      <c r="AE188" s="131"/>
      <c r="AF188" s="131"/>
      <c r="AG188" s="131"/>
      <c r="AH188" s="131"/>
      <c r="AI188" s="131"/>
    </row>
    <row r="189" spans="1:35" ht="18" customHeight="1" x14ac:dyDescent="0.2">
      <c r="A189" s="42" t="s">
        <v>94</v>
      </c>
      <c r="B189" s="209" t="s">
        <v>105</v>
      </c>
      <c r="C189" s="210"/>
      <c r="D189" s="210"/>
      <c r="E189" s="210"/>
      <c r="F189" s="210"/>
      <c r="G189" s="210"/>
      <c r="H189" s="210"/>
      <c r="I189" s="211"/>
      <c r="J189" s="39">
        <v>5</v>
      </c>
      <c r="K189" s="39">
        <v>1</v>
      </c>
      <c r="L189" s="39">
        <v>2</v>
      </c>
      <c r="M189" s="39">
        <v>0</v>
      </c>
      <c r="N189" s="39">
        <v>0</v>
      </c>
      <c r="O189" s="40">
        <f>K189+L189+N189</f>
        <v>3</v>
      </c>
      <c r="P189" s="40">
        <f>Q189-O189</f>
        <v>6</v>
      </c>
      <c r="Q189" s="40">
        <f>ROUND(PRODUCT(J189,25)/14,0)</f>
        <v>9</v>
      </c>
      <c r="R189" s="39" t="s">
        <v>31</v>
      </c>
      <c r="S189" s="39"/>
      <c r="T189" s="41"/>
      <c r="U189" s="41" t="s">
        <v>91</v>
      </c>
      <c r="V189" s="131"/>
      <c r="W189" s="131"/>
      <c r="X189" s="131"/>
      <c r="Y189" s="131"/>
      <c r="Z189" s="131"/>
      <c r="AA189" s="131"/>
      <c r="AB189" s="131"/>
      <c r="AC189" s="131"/>
      <c r="AD189" s="131"/>
      <c r="AE189" s="131"/>
      <c r="AF189" s="131"/>
      <c r="AG189" s="131"/>
      <c r="AH189" s="131"/>
      <c r="AI189" s="131"/>
    </row>
    <row r="190" spans="1:35" x14ac:dyDescent="0.2">
      <c r="A190" s="170" t="s">
        <v>85</v>
      </c>
      <c r="B190" s="171"/>
      <c r="C190" s="171"/>
      <c r="D190" s="171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  <c r="P190" s="171"/>
      <c r="Q190" s="171"/>
      <c r="R190" s="171"/>
      <c r="S190" s="171"/>
      <c r="T190" s="171"/>
      <c r="U190" s="172"/>
      <c r="V190" s="131"/>
      <c r="W190" s="131"/>
      <c r="X190" s="131"/>
      <c r="Y190" s="131"/>
      <c r="Z190" s="131"/>
      <c r="AA190" s="131"/>
      <c r="AB190" s="131"/>
      <c r="AC190" s="131"/>
      <c r="AD190" s="131"/>
      <c r="AE190" s="131"/>
      <c r="AF190" s="131"/>
      <c r="AG190" s="131"/>
      <c r="AH190" s="131"/>
      <c r="AI190" s="131"/>
    </row>
    <row r="191" spans="1:35" ht="18.75" customHeight="1" x14ac:dyDescent="0.2">
      <c r="A191" s="42"/>
      <c r="B191" s="209" t="s">
        <v>79</v>
      </c>
      <c r="C191" s="210"/>
      <c r="D191" s="210"/>
      <c r="E191" s="210"/>
      <c r="F191" s="210"/>
      <c r="G191" s="210"/>
      <c r="H191" s="210"/>
      <c r="I191" s="211"/>
      <c r="J191" s="39">
        <v>5</v>
      </c>
      <c r="K191" s="39"/>
      <c r="L191" s="39"/>
      <c r="M191" s="39"/>
      <c r="N191" s="39"/>
      <c r="O191" s="40"/>
      <c r="P191" s="40"/>
      <c r="Q191" s="40"/>
      <c r="R191" s="39"/>
      <c r="S191" s="39"/>
      <c r="T191" s="41"/>
      <c r="U191" s="36"/>
      <c r="V191" s="131"/>
      <c r="W191" s="131"/>
      <c r="X191" s="131"/>
      <c r="Y191" s="131"/>
      <c r="Z191" s="131"/>
      <c r="AA191" s="131"/>
      <c r="AB191" s="131"/>
      <c r="AC191" s="131"/>
      <c r="AD191" s="131"/>
      <c r="AE191" s="131"/>
      <c r="AF191" s="131"/>
      <c r="AG191" s="131"/>
      <c r="AH191" s="131"/>
      <c r="AI191" s="131"/>
    </row>
    <row r="192" spans="1:35" ht="20.25" customHeight="1" x14ac:dyDescent="0.2">
      <c r="A192" s="217" t="s">
        <v>80</v>
      </c>
      <c r="B192" s="218"/>
      <c r="C192" s="218"/>
      <c r="D192" s="218"/>
      <c r="E192" s="218"/>
      <c r="F192" s="218"/>
      <c r="G192" s="218"/>
      <c r="H192" s="218"/>
      <c r="I192" s="219"/>
      <c r="J192" s="43">
        <f>SUM(J182:J183,J185:J186,J188:J189,J191)</f>
        <v>35</v>
      </c>
      <c r="K192" s="43">
        <f t="shared" ref="K192:Q192" si="27">SUM(K182:K183,K185:K186,K188:K189,K191)</f>
        <v>8</v>
      </c>
      <c r="L192" s="43">
        <f t="shared" si="27"/>
        <v>7</v>
      </c>
      <c r="M192" s="43">
        <f t="shared" ref="M192" si="28">SUM(M182:M183,M185:M186,M188:M189,M191)</f>
        <v>3</v>
      </c>
      <c r="N192" s="43">
        <f t="shared" si="27"/>
        <v>0</v>
      </c>
      <c r="O192" s="43">
        <f t="shared" si="27"/>
        <v>15</v>
      </c>
      <c r="P192" s="43">
        <f t="shared" si="27"/>
        <v>39</v>
      </c>
      <c r="Q192" s="43">
        <f t="shared" si="27"/>
        <v>54</v>
      </c>
      <c r="R192" s="45">
        <f>COUNTIF(R182:R183,"E")+COUNTIF(R185:R186,"E")+COUNTIF(R188:R189,"E")+COUNTIF(R191,"E")</f>
        <v>5</v>
      </c>
      <c r="S192" s="45">
        <f>COUNTIF(S182:S183,"C")+COUNTIF(S185:S186,"C")+COUNTIF(S188:S189,"C")+COUNTIF(S191,"C")</f>
        <v>1</v>
      </c>
      <c r="T192" s="45">
        <f>COUNTIF(T182:T183,"VP")+COUNTIF(T185:T186,"VP")+COUNTIF(T188:T189,"VP")+COUNTIF(T191,"VP")</f>
        <v>0</v>
      </c>
      <c r="U192" s="44"/>
      <c r="V192" s="131"/>
      <c r="W192" s="131"/>
      <c r="X192" s="131"/>
      <c r="Y192" s="131"/>
      <c r="Z192" s="131"/>
      <c r="AA192" s="131"/>
      <c r="AB192" s="131"/>
      <c r="AC192" s="131"/>
      <c r="AD192" s="131"/>
      <c r="AE192" s="131"/>
      <c r="AF192" s="131"/>
      <c r="AG192" s="131"/>
      <c r="AH192" s="131"/>
      <c r="AI192" s="131"/>
    </row>
    <row r="193" spans="1:35" ht="20.25" customHeight="1" x14ac:dyDescent="0.2">
      <c r="A193" s="220" t="s">
        <v>53</v>
      </c>
      <c r="B193" s="221"/>
      <c r="C193" s="221"/>
      <c r="D193" s="221"/>
      <c r="E193" s="221"/>
      <c r="F193" s="221"/>
      <c r="G193" s="221"/>
      <c r="H193" s="221"/>
      <c r="I193" s="221"/>
      <c r="J193" s="222"/>
      <c r="K193" s="43">
        <f>SUM(K182:K183,K185:K186,K188:K189)*14</f>
        <v>112</v>
      </c>
      <c r="L193" s="43">
        <f t="shared" ref="L193:Q193" si="29">SUM(L182:L183,L185:L186,L188:L189)*14</f>
        <v>98</v>
      </c>
      <c r="M193" s="43">
        <f t="shared" ref="M193" si="30">SUM(M182:M183,M185:M186,M188:M189)*14</f>
        <v>42</v>
      </c>
      <c r="N193" s="43">
        <f t="shared" si="29"/>
        <v>0</v>
      </c>
      <c r="O193" s="43">
        <f t="shared" si="29"/>
        <v>210</v>
      </c>
      <c r="P193" s="43">
        <f t="shared" si="29"/>
        <v>546</v>
      </c>
      <c r="Q193" s="43">
        <f t="shared" si="29"/>
        <v>756</v>
      </c>
      <c r="R193" s="226"/>
      <c r="S193" s="227"/>
      <c r="T193" s="227"/>
      <c r="U193" s="228"/>
      <c r="V193" s="131"/>
      <c r="W193" s="131"/>
      <c r="X193" s="131"/>
      <c r="Y193" s="131"/>
      <c r="Z193" s="131"/>
      <c r="AA193" s="131"/>
      <c r="AB193" s="131"/>
      <c r="AC193" s="131"/>
      <c r="AD193" s="131"/>
      <c r="AE193" s="131"/>
      <c r="AF193" s="131"/>
      <c r="AG193" s="131"/>
      <c r="AH193" s="131"/>
      <c r="AI193" s="131"/>
    </row>
    <row r="194" spans="1:35" ht="20.25" customHeight="1" x14ac:dyDescent="0.2">
      <c r="A194" s="223"/>
      <c r="B194" s="224"/>
      <c r="C194" s="224"/>
      <c r="D194" s="224"/>
      <c r="E194" s="224"/>
      <c r="F194" s="224"/>
      <c r="G194" s="224"/>
      <c r="H194" s="224"/>
      <c r="I194" s="224"/>
      <c r="J194" s="225"/>
      <c r="K194" s="232">
        <f>SUM(K193:N193)</f>
        <v>252</v>
      </c>
      <c r="L194" s="233"/>
      <c r="M194" s="233"/>
      <c r="N194" s="234"/>
      <c r="O194" s="232">
        <f>SUM(O193:P193)</f>
        <v>756</v>
      </c>
      <c r="P194" s="233"/>
      <c r="Q194" s="234"/>
      <c r="R194" s="229"/>
      <c r="S194" s="230"/>
      <c r="T194" s="230"/>
      <c r="U194" s="231"/>
      <c r="V194" s="131"/>
      <c r="W194" s="131"/>
      <c r="X194" s="131"/>
      <c r="Y194" s="131"/>
      <c r="Z194" s="131"/>
      <c r="AA194" s="131"/>
      <c r="AB194" s="131"/>
      <c r="AC194" s="131"/>
      <c r="AD194" s="131"/>
      <c r="AE194" s="131"/>
      <c r="AF194" s="131"/>
      <c r="AG194" s="131"/>
      <c r="AH194" s="131"/>
      <c r="AI194" s="131"/>
    </row>
    <row r="195" spans="1:35" x14ac:dyDescent="0.2">
      <c r="V195" s="131"/>
      <c r="W195" s="131"/>
      <c r="X195" s="131"/>
      <c r="Y195" s="131"/>
      <c r="Z195" s="131"/>
      <c r="AA195" s="131"/>
      <c r="AB195" s="131"/>
      <c r="AC195" s="131"/>
      <c r="AD195" s="131"/>
      <c r="AE195" s="131"/>
      <c r="AF195" s="131"/>
      <c r="AG195" s="131"/>
      <c r="AH195" s="131"/>
      <c r="AI195" s="131"/>
    </row>
    <row r="196" spans="1:35" x14ac:dyDescent="0.2">
      <c r="A196" s="212" t="s">
        <v>95</v>
      </c>
      <c r="B196" s="212"/>
      <c r="C196" s="212"/>
      <c r="D196" s="212"/>
      <c r="E196" s="212"/>
      <c r="F196" s="212"/>
      <c r="G196" s="212"/>
      <c r="H196" s="212"/>
      <c r="I196" s="212"/>
      <c r="J196" s="212"/>
      <c r="K196" s="212"/>
      <c r="L196" s="212"/>
      <c r="M196" s="212"/>
      <c r="N196" s="212"/>
      <c r="O196" s="212"/>
      <c r="P196" s="212"/>
      <c r="Q196" s="212"/>
      <c r="R196" s="212"/>
      <c r="S196" s="212"/>
      <c r="T196" s="212"/>
      <c r="U196" s="212"/>
      <c r="V196" s="131"/>
      <c r="W196" s="131"/>
      <c r="X196" s="131"/>
      <c r="Y196" s="131"/>
      <c r="Z196" s="131"/>
      <c r="AA196" s="131"/>
      <c r="AB196" s="131"/>
      <c r="AC196" s="131"/>
      <c r="AD196" s="131"/>
      <c r="AE196" s="131"/>
      <c r="AF196" s="131"/>
      <c r="AG196" s="131"/>
      <c r="AH196" s="131"/>
      <c r="AI196" s="131"/>
    </row>
    <row r="197" spans="1:35" x14ac:dyDescent="0.2">
      <c r="A197" s="212" t="s">
        <v>96</v>
      </c>
      <c r="B197" s="212"/>
      <c r="C197" s="212"/>
      <c r="D197" s="212"/>
      <c r="E197" s="212"/>
      <c r="F197" s="212"/>
      <c r="G197" s="212"/>
      <c r="H197" s="212"/>
      <c r="I197" s="212"/>
      <c r="J197" s="212"/>
      <c r="K197" s="212"/>
      <c r="L197" s="212"/>
      <c r="M197" s="212"/>
      <c r="N197" s="212"/>
      <c r="O197" s="212"/>
      <c r="P197" s="212"/>
      <c r="Q197" s="212"/>
      <c r="R197" s="212"/>
      <c r="S197" s="212"/>
      <c r="T197" s="212"/>
      <c r="U197" s="212"/>
      <c r="V197" s="131"/>
      <c r="W197" s="131"/>
      <c r="X197" s="131"/>
      <c r="Y197" s="131"/>
      <c r="Z197" s="131"/>
      <c r="AA197" s="131"/>
      <c r="AB197" s="131"/>
      <c r="AC197" s="131"/>
      <c r="AD197" s="131"/>
      <c r="AE197" s="131"/>
      <c r="AF197" s="131"/>
      <c r="AG197" s="131"/>
      <c r="AH197" s="131"/>
      <c r="AI197" s="131"/>
    </row>
    <row r="198" spans="1:35" x14ac:dyDescent="0.2">
      <c r="A198" s="212" t="s">
        <v>97</v>
      </c>
      <c r="B198" s="212"/>
      <c r="C198" s="212"/>
      <c r="D198" s="212"/>
      <c r="E198" s="212"/>
      <c r="F198" s="212"/>
      <c r="G198" s="212"/>
      <c r="H198" s="212"/>
      <c r="I198" s="212"/>
      <c r="J198" s="212"/>
      <c r="K198" s="212"/>
      <c r="L198" s="212"/>
      <c r="M198" s="212"/>
      <c r="N198" s="212"/>
      <c r="O198" s="212"/>
      <c r="P198" s="212"/>
      <c r="Q198" s="212"/>
      <c r="R198" s="212"/>
      <c r="S198" s="212"/>
      <c r="T198" s="212"/>
      <c r="U198" s="212"/>
      <c r="V198" s="131"/>
      <c r="W198" s="131"/>
      <c r="X198" s="131"/>
      <c r="Y198" s="131"/>
      <c r="Z198" s="131"/>
      <c r="AA198" s="131"/>
      <c r="AB198" s="131"/>
      <c r="AC198" s="131"/>
      <c r="AD198" s="131"/>
      <c r="AE198" s="131"/>
      <c r="AF198" s="131"/>
      <c r="AG198" s="131"/>
      <c r="AH198" s="131"/>
      <c r="AI198" s="131"/>
    </row>
    <row r="199" spans="1:35" x14ac:dyDescent="0.2">
      <c r="V199" s="131"/>
      <c r="W199" s="131"/>
      <c r="X199" s="131"/>
      <c r="Y199" s="131"/>
      <c r="Z199" s="131"/>
      <c r="AA199" s="131"/>
      <c r="AB199" s="131"/>
      <c r="AC199" s="131"/>
      <c r="AD199" s="131"/>
      <c r="AE199" s="131"/>
      <c r="AF199" s="131"/>
      <c r="AG199" s="131"/>
      <c r="AH199" s="131"/>
      <c r="AI199" s="131"/>
    </row>
  </sheetData>
  <sheetProtection formatCells="0" formatRows="0" insertRows="0"/>
  <mergeCells count="280">
    <mergeCell ref="B60:I60"/>
    <mergeCell ref="B182:I182"/>
    <mergeCell ref="B188:I188"/>
    <mergeCell ref="A196:U196"/>
    <mergeCell ref="A197:U197"/>
    <mergeCell ref="A198:U198"/>
    <mergeCell ref="V178:AI179"/>
    <mergeCell ref="V180:AB199"/>
    <mergeCell ref="AC180:AI199"/>
    <mergeCell ref="A184:U184"/>
    <mergeCell ref="B185:I185"/>
    <mergeCell ref="A187:U187"/>
    <mergeCell ref="B189:I189"/>
    <mergeCell ref="A190:U190"/>
    <mergeCell ref="B191:I191"/>
    <mergeCell ref="A192:I192"/>
    <mergeCell ref="A193:J194"/>
    <mergeCell ref="R193:U194"/>
    <mergeCell ref="K194:N194"/>
    <mergeCell ref="O194:Q194"/>
    <mergeCell ref="B186:I186"/>
    <mergeCell ref="A178:U178"/>
    <mergeCell ref="B183:I183"/>
    <mergeCell ref="A181:U181"/>
    <mergeCell ref="A174:G174"/>
    <mergeCell ref="H174:I174"/>
    <mergeCell ref="J174:K174"/>
    <mergeCell ref="L174:N174"/>
    <mergeCell ref="O174:P174"/>
    <mergeCell ref="Q174:R174"/>
    <mergeCell ref="B172:G172"/>
    <mergeCell ref="H172:I172"/>
    <mergeCell ref="J172:K172"/>
    <mergeCell ref="L172:N172"/>
    <mergeCell ref="O172:P172"/>
    <mergeCell ref="Q172:R172"/>
    <mergeCell ref="B173:G173"/>
    <mergeCell ref="H173:I173"/>
    <mergeCell ref="J173:K173"/>
    <mergeCell ref="L173:N173"/>
    <mergeCell ref="O173:P173"/>
    <mergeCell ref="Q173:R173"/>
    <mergeCell ref="A169:B169"/>
    <mergeCell ref="A170:A171"/>
    <mergeCell ref="B170:G171"/>
    <mergeCell ref="H170:I171"/>
    <mergeCell ref="J170:P170"/>
    <mergeCell ref="Q170:R171"/>
    <mergeCell ref="S170:U170"/>
    <mergeCell ref="J171:K171"/>
    <mergeCell ref="L171:N171"/>
    <mergeCell ref="O171:P171"/>
    <mergeCell ref="R163:U164"/>
    <mergeCell ref="K164:N164"/>
    <mergeCell ref="O164:Q164"/>
    <mergeCell ref="B157:I157"/>
    <mergeCell ref="A158:U158"/>
    <mergeCell ref="B160:I160"/>
    <mergeCell ref="B161:I161"/>
    <mergeCell ref="A162:I162"/>
    <mergeCell ref="A163:J164"/>
    <mergeCell ref="B159:I159"/>
    <mergeCell ref="A142:I142"/>
    <mergeCell ref="K144:N144"/>
    <mergeCell ref="O144:Q144"/>
    <mergeCell ref="B134:I134"/>
    <mergeCell ref="B133:I133"/>
    <mergeCell ref="B138:I138"/>
    <mergeCell ref="A136:U136"/>
    <mergeCell ref="B156:I156"/>
    <mergeCell ref="U150:U151"/>
    <mergeCell ref="A149:U149"/>
    <mergeCell ref="A143:J144"/>
    <mergeCell ref="R143:U144"/>
    <mergeCell ref="O150:Q150"/>
    <mergeCell ref="A152:U152"/>
    <mergeCell ref="B153:I153"/>
    <mergeCell ref="B154:I154"/>
    <mergeCell ref="B155:I155"/>
    <mergeCell ref="R150:T150"/>
    <mergeCell ref="A150:A151"/>
    <mergeCell ref="B150:I151"/>
    <mergeCell ref="J150:J151"/>
    <mergeCell ref="K150:N150"/>
    <mergeCell ref="B139:I139"/>
    <mergeCell ref="B140:I140"/>
    <mergeCell ref="A129:U129"/>
    <mergeCell ref="B130:I130"/>
    <mergeCell ref="B131:I131"/>
    <mergeCell ref="B135:I135"/>
    <mergeCell ref="B132:I132"/>
    <mergeCell ref="A127:A128"/>
    <mergeCell ref="B141:I141"/>
    <mergeCell ref="B137:I137"/>
    <mergeCell ref="B81:I81"/>
    <mergeCell ref="B106:I107"/>
    <mergeCell ref="A106:A107"/>
    <mergeCell ref="A122:J123"/>
    <mergeCell ref="R122:U123"/>
    <mergeCell ref="O123:Q123"/>
    <mergeCell ref="K123:N123"/>
    <mergeCell ref="A121:I121"/>
    <mergeCell ref="B120:I120"/>
    <mergeCell ref="R106:T106"/>
    <mergeCell ref="K75:N75"/>
    <mergeCell ref="A126:U126"/>
    <mergeCell ref="J127:J128"/>
    <mergeCell ref="K127:N127"/>
    <mergeCell ref="O127:Q127"/>
    <mergeCell ref="B127:I128"/>
    <mergeCell ref="R127:T127"/>
    <mergeCell ref="U127:U128"/>
    <mergeCell ref="S5:U5"/>
    <mergeCell ref="J67:J68"/>
    <mergeCell ref="K67:N67"/>
    <mergeCell ref="O67:Q67"/>
    <mergeCell ref="R67:T67"/>
    <mergeCell ref="A67:A68"/>
    <mergeCell ref="J47:J48"/>
    <mergeCell ref="A47:A48"/>
    <mergeCell ref="K57:N57"/>
    <mergeCell ref="N21:U23"/>
    <mergeCell ref="I26:K26"/>
    <mergeCell ref="B26:C26"/>
    <mergeCell ref="H26:H27"/>
    <mergeCell ref="G26:G27"/>
    <mergeCell ref="A16:K16"/>
    <mergeCell ref="A2:K2"/>
    <mergeCell ref="P3:R3"/>
    <mergeCell ref="A36:U36"/>
    <mergeCell ref="N25:U31"/>
    <mergeCell ref="A20:K23"/>
    <mergeCell ref="R95:U96"/>
    <mergeCell ref="A94:I94"/>
    <mergeCell ref="A95:J96"/>
    <mergeCell ref="B79:I79"/>
    <mergeCell ref="U75:U76"/>
    <mergeCell ref="B75:I76"/>
    <mergeCell ref="B93:I93"/>
    <mergeCell ref="A90:U90"/>
    <mergeCell ref="A77:U77"/>
    <mergeCell ref="A82:U82"/>
    <mergeCell ref="B91:I91"/>
    <mergeCell ref="B85:I85"/>
    <mergeCell ref="B84:I84"/>
    <mergeCell ref="B88:I88"/>
    <mergeCell ref="B87:I87"/>
    <mergeCell ref="A86:U86"/>
    <mergeCell ref="B83:I83"/>
    <mergeCell ref="B78:I78"/>
    <mergeCell ref="A66:U66"/>
    <mergeCell ref="A1:K1"/>
    <mergeCell ref="A3:K3"/>
    <mergeCell ref="K47:N47"/>
    <mergeCell ref="N19:U19"/>
    <mergeCell ref="N1:U1"/>
    <mergeCell ref="N14:U14"/>
    <mergeCell ref="A4:K5"/>
    <mergeCell ref="A34:U34"/>
    <mergeCell ref="A19:K19"/>
    <mergeCell ref="A17:K17"/>
    <mergeCell ref="N3:O3"/>
    <mergeCell ref="N5:O5"/>
    <mergeCell ref="D26:F26"/>
    <mergeCell ref="A18:K18"/>
    <mergeCell ref="O47:Q47"/>
    <mergeCell ref="R47:T47"/>
    <mergeCell ref="S3:U3"/>
    <mergeCell ref="S4:U4"/>
    <mergeCell ref="U37:U38"/>
    <mergeCell ref="O37:Q37"/>
    <mergeCell ref="K37:N37"/>
    <mergeCell ref="U47:U48"/>
    <mergeCell ref="R37:T37"/>
    <mergeCell ref="A46:U46"/>
    <mergeCell ref="A56:U56"/>
    <mergeCell ref="P4:R4"/>
    <mergeCell ref="N4:O4"/>
    <mergeCell ref="A10:K10"/>
    <mergeCell ref="N6:O6"/>
    <mergeCell ref="A7:K7"/>
    <mergeCell ref="A8:K8"/>
    <mergeCell ref="A9:K9"/>
    <mergeCell ref="N15:U15"/>
    <mergeCell ref="S6:U6"/>
    <mergeCell ref="N8:U11"/>
    <mergeCell ref="A15:K15"/>
    <mergeCell ref="A13:K13"/>
    <mergeCell ref="A6:K6"/>
    <mergeCell ref="P5:R5"/>
    <mergeCell ref="P6:R6"/>
    <mergeCell ref="A14:K14"/>
    <mergeCell ref="B50:I50"/>
    <mergeCell ref="B62:I62"/>
    <mergeCell ref="N17:U17"/>
    <mergeCell ref="N18:U18"/>
    <mergeCell ref="N13:U13"/>
    <mergeCell ref="N16:U16"/>
    <mergeCell ref="A11:K11"/>
    <mergeCell ref="A12:K12"/>
    <mergeCell ref="A105:U105"/>
    <mergeCell ref="A104:U104"/>
    <mergeCell ref="B54:I54"/>
    <mergeCell ref="B53:I53"/>
    <mergeCell ref="B41:I41"/>
    <mergeCell ref="B39:I39"/>
    <mergeCell ref="B40:I40"/>
    <mergeCell ref="B44:I44"/>
    <mergeCell ref="B49:I49"/>
    <mergeCell ref="B51:I51"/>
    <mergeCell ref="B42:I42"/>
    <mergeCell ref="B43:I43"/>
    <mergeCell ref="B47:I48"/>
    <mergeCell ref="A37:A38"/>
    <mergeCell ref="B37:I38"/>
    <mergeCell ref="J37:J38"/>
    <mergeCell ref="B61:I61"/>
    <mergeCell ref="J57:J58"/>
    <mergeCell ref="J106:J107"/>
    <mergeCell ref="O57:Q57"/>
    <mergeCell ref="R57:T57"/>
    <mergeCell ref="U57:U58"/>
    <mergeCell ref="B69:I69"/>
    <mergeCell ref="B70:I70"/>
    <mergeCell ref="B71:I71"/>
    <mergeCell ref="A57:A58"/>
    <mergeCell ref="B57:I58"/>
    <mergeCell ref="A74:U74"/>
    <mergeCell ref="O75:Q75"/>
    <mergeCell ref="A75:A76"/>
    <mergeCell ref="B72:I72"/>
    <mergeCell ref="J75:J76"/>
    <mergeCell ref="B92:I92"/>
    <mergeCell ref="R75:T75"/>
    <mergeCell ref="K96:N96"/>
    <mergeCell ref="O96:Q96"/>
    <mergeCell ref="B59:I59"/>
    <mergeCell ref="U67:U68"/>
    <mergeCell ref="B64:I64"/>
    <mergeCell ref="B67:I68"/>
    <mergeCell ref="B63:I63"/>
    <mergeCell ref="V72:X72"/>
    <mergeCell ref="V173:Y173"/>
    <mergeCell ref="V4:Y4"/>
    <mergeCell ref="V5:Y5"/>
    <mergeCell ref="V3:Y3"/>
    <mergeCell ref="V6:Y6"/>
    <mergeCell ref="V28:W28"/>
    <mergeCell ref="V29:W29"/>
    <mergeCell ref="V44:X44"/>
    <mergeCell ref="V54:X54"/>
    <mergeCell ref="V64:X64"/>
    <mergeCell ref="V9:AA12"/>
    <mergeCell ref="V15:AA17"/>
    <mergeCell ref="V20:AB23"/>
    <mergeCell ref="AB16:AC16"/>
    <mergeCell ref="B80:I80"/>
    <mergeCell ref="A176:U176"/>
    <mergeCell ref="A179:A180"/>
    <mergeCell ref="B179:I180"/>
    <mergeCell ref="J179:J180"/>
    <mergeCell ref="K179:N179"/>
    <mergeCell ref="O179:Q179"/>
    <mergeCell ref="R179:T179"/>
    <mergeCell ref="U179:U180"/>
    <mergeCell ref="B110:I110"/>
    <mergeCell ref="B111:I111"/>
    <mergeCell ref="B112:I112"/>
    <mergeCell ref="B109:I109"/>
    <mergeCell ref="A108:U108"/>
    <mergeCell ref="U106:U107"/>
    <mergeCell ref="B113:I113"/>
    <mergeCell ref="B115:I115"/>
    <mergeCell ref="B118:I118"/>
    <mergeCell ref="A117:U117"/>
    <mergeCell ref="K106:N106"/>
    <mergeCell ref="O106:Q106"/>
    <mergeCell ref="B119:I119"/>
    <mergeCell ref="B114:I114"/>
    <mergeCell ref="B116:I116"/>
  </mergeCells>
  <phoneticPr fontId="6" type="noConversion"/>
  <conditionalFormatting sqref="V173 V3:V6 V28:V29">
    <cfRule type="cellIs" dxfId="23" priority="47" operator="equal">
      <formula>"E bine"</formula>
    </cfRule>
  </conditionalFormatting>
  <conditionalFormatting sqref="V173 V3:V6 V28:V29">
    <cfRule type="cellIs" dxfId="22" priority="46" operator="equal">
      <formula>"NU e bine"</formula>
    </cfRule>
  </conditionalFormatting>
  <conditionalFormatting sqref="V3:W6 V28:W29">
    <cfRule type="cellIs" dxfId="21" priority="39" operator="equal">
      <formula>"Suma trebuie să fie 52"</formula>
    </cfRule>
    <cfRule type="cellIs" dxfId="20" priority="40" operator="equal">
      <formula>"Corect"</formula>
    </cfRule>
    <cfRule type="cellIs" dxfId="19" priority="41" operator="equal">
      <formula>SUM($B$28:$J$28)</formula>
    </cfRule>
    <cfRule type="cellIs" dxfId="18" priority="42" operator="lessThan">
      <formula>"(SUM(B28:K28)=52"</formula>
    </cfRule>
    <cfRule type="cellIs" dxfId="17" priority="43" operator="equal">
      <formula>52</formula>
    </cfRule>
    <cfRule type="cellIs" dxfId="16" priority="44" operator="equal">
      <formula>$K$28</formula>
    </cfRule>
    <cfRule type="cellIs" dxfId="15" priority="45" operator="equal">
      <formula>$B$28:$K$28=52</formula>
    </cfRule>
  </conditionalFormatting>
  <conditionalFormatting sqref="V173:W173 V3:W6 V28:W29">
    <cfRule type="cellIs" dxfId="14" priority="37" operator="equal">
      <formula>"Suma trebuie să fie 52"</formula>
    </cfRule>
    <cfRule type="cellIs" dxfId="13" priority="38" operator="equal">
      <formula>"Corect"</formula>
    </cfRule>
  </conditionalFormatting>
  <conditionalFormatting sqref="V3:Y6">
    <cfRule type="cellIs" dxfId="12" priority="36" operator="equal">
      <formula>"Trebuie alocate cel puțin 20 de ore pe săptămână"</formula>
    </cfRule>
  </conditionalFormatting>
  <conditionalFormatting sqref="V173:Y173 V28:W29">
    <cfRule type="cellIs" dxfId="11" priority="24" operator="equal">
      <formula>"Corect"</formula>
    </cfRule>
  </conditionalFormatting>
  <conditionalFormatting sqref="V28:W28">
    <cfRule type="cellIs" dxfId="10" priority="23" operator="equal">
      <formula>"Correct"</formula>
    </cfRule>
  </conditionalFormatting>
  <conditionalFormatting sqref="V44:X45 V54:X55 V72:X73 V64:X65">
    <cfRule type="cellIs" dxfId="9" priority="20" operator="equal">
      <formula>"E trebuie să fie cel puțin egal cu C+VP"</formula>
    </cfRule>
    <cfRule type="cellIs" dxfId="8" priority="21" operator="equal">
      <formula>"Corect"</formula>
    </cfRule>
  </conditionalFormatting>
  <conditionalFormatting sqref="V173:W173">
    <cfRule type="cellIs" dxfId="7" priority="2" operator="equal">
      <formula>"Nu corespunde cu tabelul de opționale"</formula>
    </cfRule>
    <cfRule type="cellIs" dxfId="6" priority="3" operator="equal">
      <formula>"Suma trebuie să fie 52"</formula>
    </cfRule>
    <cfRule type="cellIs" dxfId="5" priority="4" operator="equal">
      <formula>"Corect"</formula>
    </cfRule>
    <cfRule type="cellIs" dxfId="4" priority="5" operator="equal">
      <formula>SUM($B$28:$J$28)</formula>
    </cfRule>
    <cfRule type="cellIs" dxfId="3" priority="6" operator="lessThan">
      <formula>"(SUM(B28:K28)=52"</formula>
    </cfRule>
    <cfRule type="cellIs" dxfId="2" priority="7" operator="equal">
      <formula>52</formula>
    </cfRule>
    <cfRule type="cellIs" dxfId="1" priority="8" operator="equal">
      <formula>$K$28</formula>
    </cfRule>
    <cfRule type="cellIs" dxfId="0" priority="9" operator="equal">
      <formula>$B$28:$K$28=52</formula>
    </cfRule>
  </conditionalFormatting>
  <dataValidations disablePrompts="1" count="6">
    <dataValidation type="list" allowBlank="1" showInputMessage="1" showErrorMessage="1" sqref="S185:S186 S91:S93 S87:S89 S83:S85 S191 S69:S71 S49:S53 S78:S81 S39:S43 S188:S189 S182:S183 S59 S61:S63" xr:uid="{00000000-0002-0000-0000-000000000000}">
      <formula1>$S$38</formula1>
    </dataValidation>
    <dataValidation type="list" allowBlank="1" showInputMessage="1" showErrorMessage="1" sqref="R185:R186 R91:R93 R87:R89 R83:R85 R191 R69:R71 R49:R53 R78:R81 R39:R43 R188:R189 R182:R183 R59 R61:R63" xr:uid="{00000000-0002-0000-0000-000001000000}">
      <formula1>$R$38</formula1>
    </dataValidation>
    <dataValidation type="list" allowBlank="1" showInputMessage="1" showErrorMessage="1" sqref="T185:T186 T91:T93 T87:T89 T83:T85 T191 T69:T71 T49:T53 T78:T81 T39:T43 T188:T189 T182:T183 T59 T61:T63" xr:uid="{00000000-0002-0000-0000-000002000000}">
      <formula1>$T$38</formula1>
    </dataValidation>
    <dataValidation type="list" allowBlank="1" showInputMessage="1" showErrorMessage="1" sqref="U91:U93 U87:U89 U83:U85 U159:U160 U69:U71 U49:U53 U78:U81 U39:U43 U137:U140 U109:U115 U118:U119 U130:U134 U153:U156 U59 U61:U63" xr:uid="{00000000-0002-0000-0000-000003000000}">
      <formula1>$P$35:$T$35</formula1>
    </dataValidation>
    <dataValidation type="list" allowBlank="1" showInputMessage="1" showErrorMessage="1" sqref="U116 U135 U157" xr:uid="{00000000-0002-0000-0000-000004000000}">
      <formula1>$Q$35:$T$35</formula1>
    </dataValidation>
    <dataValidation type="list" allowBlank="1" showInputMessage="1" showErrorMessage="1" sqref="B137:I140 B109:I109 B112:I112 B118:I119 B130:I130 B133:I134 B159:I160" xr:uid="{00000000-0002-0000-0000-000005000000}">
      <formula1>$B$37:$B$103</formula1>
    </dataValidation>
  </dataValidations>
  <pageMargins left="0.7" right="0.7" top="0.75" bottom="0.75" header="0.3" footer="0.3"/>
  <pageSetup paperSize="9" orientation="landscape" blackAndWhite="1" r:id="rId1"/>
  <headerFooter>
    <oddHeader>&amp;C
&amp;R&amp;P</oddHeader>
    <oddFooter>&amp;LRECTOR,
Acad.Prof.univ.dr. Ioan Aurel POP&amp;CDECAN,
Prof.dr. Adrian Olimpiu PETRUȘEL&amp;RDIRECTOR DE DEPARTAMENT,
Prof.dr. Anca ANDREICA</oddFooter>
  </headerFooter>
  <ignoredErrors>
    <ignoredError sqref="R44" formula="1"/>
    <ignoredError sqref="K96" formulaRange="1"/>
  </ignoredErrors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109375" defaultRowHeight="15" x14ac:dyDescent="0.25"/>
  <sheetData/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109375" defaultRowHeight="15" x14ac:dyDescent="0.25"/>
  <sheetData/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436C8AF41D44994AA64A6708AB5AD" ma:contentTypeVersion="0" ma:contentTypeDescription="Create a new document." ma:contentTypeScope="" ma:versionID="1e145a0201785cf80eb881b8ccf1c55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47E3DA-5698-49A4-92EA-B6C4521E51D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DDBDD6F-734C-403D-B3EA-BC9E9E258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54E7A1D-D733-4215-B5BA-4564572BE7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djonexx</cp:lastModifiedBy>
  <cp:lastPrinted>2015-12-02T08:08:21Z</cp:lastPrinted>
  <dcterms:created xsi:type="dcterms:W3CDTF">2013-06-27T08:19:59Z</dcterms:created>
  <dcterms:modified xsi:type="dcterms:W3CDTF">2019-03-19T15:43:53Z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0x010100DBA436C8AF41D44994AA64A6708AB5AD</vt:lpwstr>
  </property>
</Properties>
</file>