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lan_Invatamant_2018\MASTER_2018\Matematica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V73" i="1" l="1"/>
  <c r="Z3" i="1"/>
  <c r="K93" i="1" l="1"/>
  <c r="L93" i="1"/>
  <c r="M93" i="1"/>
  <c r="N93" i="1"/>
  <c r="L92" i="1"/>
  <c r="M92" i="1"/>
  <c r="N92" i="1"/>
  <c r="K92" i="1"/>
  <c r="T92" i="1" l="1"/>
  <c r="S92" i="1"/>
  <c r="R92" i="1"/>
  <c r="J92" i="1"/>
  <c r="J106" i="1" l="1"/>
  <c r="M184" i="1" l="1"/>
  <c r="M183" i="1"/>
  <c r="L183" i="1"/>
  <c r="O180" i="1"/>
  <c r="O179" i="1"/>
  <c r="O177" i="1"/>
  <c r="O176" i="1"/>
  <c r="O173" i="1"/>
  <c r="T154" i="1"/>
  <c r="S154" i="1"/>
  <c r="R154" i="1"/>
  <c r="N154" i="1"/>
  <c r="M154" i="1"/>
  <c r="M155" i="1" s="1"/>
  <c r="L154" i="1"/>
  <c r="K154" i="1"/>
  <c r="J154" i="1"/>
  <c r="J150" i="1"/>
  <c r="K150" i="1"/>
  <c r="L150" i="1"/>
  <c r="M150" i="1"/>
  <c r="N150" i="1"/>
  <c r="R150" i="1"/>
  <c r="S150" i="1"/>
  <c r="T150" i="1"/>
  <c r="J151" i="1"/>
  <c r="K151" i="1"/>
  <c r="L151" i="1"/>
  <c r="M151" i="1"/>
  <c r="N151" i="1"/>
  <c r="R151" i="1"/>
  <c r="S151" i="1"/>
  <c r="T151" i="1"/>
  <c r="T149" i="1"/>
  <c r="S149" i="1"/>
  <c r="R149" i="1"/>
  <c r="N149" i="1"/>
  <c r="M149" i="1"/>
  <c r="L149" i="1"/>
  <c r="K149" i="1"/>
  <c r="J149" i="1"/>
  <c r="J137" i="1"/>
  <c r="K137" i="1"/>
  <c r="L137" i="1"/>
  <c r="M137" i="1"/>
  <c r="N137" i="1"/>
  <c r="R137" i="1"/>
  <c r="S137" i="1"/>
  <c r="T137" i="1"/>
  <c r="J138" i="1"/>
  <c r="K138" i="1"/>
  <c r="L138" i="1"/>
  <c r="M138" i="1"/>
  <c r="N138" i="1"/>
  <c r="R138" i="1"/>
  <c r="S138" i="1"/>
  <c r="T138" i="1"/>
  <c r="J139" i="1"/>
  <c r="K139" i="1"/>
  <c r="L139" i="1"/>
  <c r="M139" i="1"/>
  <c r="N139" i="1"/>
  <c r="R139" i="1"/>
  <c r="S139" i="1"/>
  <c r="T139" i="1"/>
  <c r="T136" i="1"/>
  <c r="S136" i="1"/>
  <c r="R136" i="1"/>
  <c r="N136" i="1"/>
  <c r="M136" i="1"/>
  <c r="L136" i="1"/>
  <c r="K136" i="1"/>
  <c r="J136" i="1"/>
  <c r="T133" i="1"/>
  <c r="S133" i="1"/>
  <c r="R133" i="1"/>
  <c r="Q133" i="1"/>
  <c r="P133" i="1"/>
  <c r="O133" i="1"/>
  <c r="N133" i="1"/>
  <c r="M133" i="1"/>
  <c r="L133" i="1"/>
  <c r="K133" i="1"/>
  <c r="J133" i="1"/>
  <c r="T116" i="1"/>
  <c r="S116" i="1"/>
  <c r="R116" i="1"/>
  <c r="Q116" i="1"/>
  <c r="P116" i="1"/>
  <c r="O116" i="1"/>
  <c r="N116" i="1"/>
  <c r="M116" i="1"/>
  <c r="L116" i="1"/>
  <c r="K116" i="1"/>
  <c r="J116" i="1"/>
  <c r="K106" i="1"/>
  <c r="L106" i="1"/>
  <c r="M106" i="1"/>
  <c r="N106" i="1"/>
  <c r="R106" i="1"/>
  <c r="S106" i="1"/>
  <c r="T106" i="1"/>
  <c r="J107" i="1"/>
  <c r="K107" i="1"/>
  <c r="L107" i="1"/>
  <c r="M107" i="1"/>
  <c r="N107" i="1"/>
  <c r="R107" i="1"/>
  <c r="S107" i="1"/>
  <c r="T107" i="1"/>
  <c r="J108" i="1"/>
  <c r="K108" i="1"/>
  <c r="L108" i="1"/>
  <c r="M108" i="1"/>
  <c r="N108" i="1"/>
  <c r="R108" i="1"/>
  <c r="S108" i="1"/>
  <c r="T108" i="1"/>
  <c r="J109" i="1"/>
  <c r="K109" i="1"/>
  <c r="L109" i="1"/>
  <c r="M109" i="1"/>
  <c r="N109" i="1"/>
  <c r="R109" i="1"/>
  <c r="S109" i="1"/>
  <c r="T109" i="1"/>
  <c r="J110" i="1"/>
  <c r="K110" i="1"/>
  <c r="L110" i="1"/>
  <c r="M110" i="1"/>
  <c r="N110" i="1"/>
  <c r="R110" i="1"/>
  <c r="S110" i="1"/>
  <c r="T110" i="1"/>
  <c r="J111" i="1"/>
  <c r="K111" i="1"/>
  <c r="L111" i="1"/>
  <c r="M111" i="1"/>
  <c r="N111" i="1"/>
  <c r="R111" i="1"/>
  <c r="S111" i="1"/>
  <c r="T111" i="1"/>
  <c r="J112" i="1"/>
  <c r="K112" i="1"/>
  <c r="L112" i="1"/>
  <c r="M112" i="1"/>
  <c r="N112" i="1"/>
  <c r="R112" i="1"/>
  <c r="S112" i="1"/>
  <c r="T112" i="1"/>
  <c r="J113" i="1"/>
  <c r="K113" i="1"/>
  <c r="L113" i="1"/>
  <c r="M113" i="1"/>
  <c r="N113" i="1"/>
  <c r="R113" i="1"/>
  <c r="S113" i="1"/>
  <c r="T113" i="1"/>
  <c r="T105" i="1"/>
  <c r="S105" i="1"/>
  <c r="R105" i="1"/>
  <c r="N105" i="1"/>
  <c r="M105" i="1"/>
  <c r="O91" i="1"/>
  <c r="O90" i="1"/>
  <c r="O88" i="1"/>
  <c r="O87" i="1"/>
  <c r="M80" i="1"/>
  <c r="O76" i="1"/>
  <c r="O137" i="1" s="1"/>
  <c r="O77" i="1"/>
  <c r="O138" i="1" s="1"/>
  <c r="O78" i="1"/>
  <c r="O139" i="1" s="1"/>
  <c r="O79" i="1"/>
  <c r="O154" i="1" s="1"/>
  <c r="O75" i="1"/>
  <c r="O136" i="1" s="1"/>
  <c r="M70" i="1"/>
  <c r="O67" i="1"/>
  <c r="O111" i="1" s="1"/>
  <c r="O68" i="1"/>
  <c r="O112" i="1" s="1"/>
  <c r="O69" i="1"/>
  <c r="O113" i="1" s="1"/>
  <c r="O66" i="1"/>
  <c r="M55" i="1"/>
  <c r="O52" i="1"/>
  <c r="O107" i="1" s="1"/>
  <c r="O53" i="1"/>
  <c r="O108" i="1" s="1"/>
  <c r="O54" i="1"/>
  <c r="O109" i="1" s="1"/>
  <c r="O51" i="1"/>
  <c r="O106" i="1" s="1"/>
  <c r="O41" i="1"/>
  <c r="O150" i="1" s="1"/>
  <c r="O42" i="1"/>
  <c r="O151" i="1" s="1"/>
  <c r="O43" i="1"/>
  <c r="O105" i="1" s="1"/>
  <c r="O40" i="1"/>
  <c r="O149" i="1" s="1"/>
  <c r="M44" i="1"/>
  <c r="O93" i="1" l="1"/>
  <c r="O92" i="1"/>
  <c r="O110" i="1"/>
  <c r="M114" i="1"/>
  <c r="M117" i="1"/>
  <c r="M134" i="1"/>
  <c r="M140" i="1"/>
  <c r="M152" i="1"/>
  <c r="M156" i="1" s="1"/>
  <c r="L117" i="1"/>
  <c r="V6" i="1"/>
  <c r="V5" i="1"/>
  <c r="V4" i="1"/>
  <c r="V3" i="1"/>
  <c r="M141" i="1" l="1"/>
  <c r="M119" i="1"/>
  <c r="M118" i="1"/>
  <c r="M157" i="1"/>
  <c r="M142" i="1"/>
  <c r="Q88" i="1"/>
  <c r="Q87" i="1"/>
  <c r="Q75" i="1"/>
  <c r="Q136" i="1" s="1"/>
  <c r="U80" i="1" l="1"/>
  <c r="P75" i="1" l="1"/>
  <c r="P136" i="1" s="1"/>
  <c r="U70" i="1" l="1"/>
  <c r="U55" i="1" l="1"/>
  <c r="U44" i="1"/>
  <c r="N184" i="1" l="1"/>
  <c r="L184" i="1"/>
  <c r="K184" i="1"/>
  <c r="T183" i="1"/>
  <c r="S183" i="1"/>
  <c r="R183" i="1"/>
  <c r="N183" i="1"/>
  <c r="K183" i="1"/>
  <c r="J183" i="1"/>
  <c r="Q179" i="1"/>
  <c r="Q173" i="1"/>
  <c r="Q177" i="1"/>
  <c r="Q180" i="1"/>
  <c r="Q176" i="1"/>
  <c r="Q174" i="1"/>
  <c r="O174" i="1"/>
  <c r="K185" i="1" l="1"/>
  <c r="P177" i="1"/>
  <c r="O183" i="1"/>
  <c r="Q183" i="1"/>
  <c r="O184" i="1"/>
  <c r="Q184" i="1"/>
  <c r="P179" i="1"/>
  <c r="P173" i="1"/>
  <c r="P180" i="1"/>
  <c r="P174" i="1"/>
  <c r="P176" i="1"/>
  <c r="P184" i="1" l="1"/>
  <c r="O185" i="1" s="1"/>
  <c r="P183" i="1"/>
  <c r="V29" i="1" l="1"/>
  <c r="V28" i="1"/>
  <c r="Q91" i="1" l="1"/>
  <c r="Q90" i="1"/>
  <c r="Q79" i="1"/>
  <c r="Q154" i="1" s="1"/>
  <c r="Q78" i="1"/>
  <c r="Q139" i="1" s="1"/>
  <c r="Q77" i="1"/>
  <c r="Q138" i="1" s="1"/>
  <c r="Q76" i="1"/>
  <c r="Q137" i="1" s="1"/>
  <c r="Q92" i="1" l="1"/>
  <c r="Q93" i="1"/>
  <c r="K94" i="1"/>
  <c r="P91" i="1"/>
  <c r="P88" i="1"/>
  <c r="A154" i="1"/>
  <c r="A151" i="1"/>
  <c r="A150" i="1"/>
  <c r="A149" i="1"/>
  <c r="A139" i="1"/>
  <c r="A138" i="1"/>
  <c r="A137" i="1"/>
  <c r="A136" i="1"/>
  <c r="A133" i="1"/>
  <c r="A116" i="1"/>
  <c r="A113" i="1" l="1"/>
  <c r="A112" i="1"/>
  <c r="A111" i="1"/>
  <c r="A110" i="1"/>
  <c r="A109" i="1"/>
  <c r="A108" i="1"/>
  <c r="A107" i="1" l="1"/>
  <c r="A106" i="1"/>
  <c r="L105" i="1"/>
  <c r="L114" i="1" s="1"/>
  <c r="L118" i="1" s="1"/>
  <c r="K105" i="1"/>
  <c r="J105" i="1"/>
  <c r="A105" i="1"/>
  <c r="Q43" i="1" l="1"/>
  <c r="Q105" i="1" s="1"/>
  <c r="T155" i="1"/>
  <c r="S155" i="1"/>
  <c r="R155" i="1"/>
  <c r="N155" i="1"/>
  <c r="L155" i="1"/>
  <c r="K155" i="1"/>
  <c r="J155" i="1"/>
  <c r="T152" i="1"/>
  <c r="S152" i="1"/>
  <c r="R152" i="1"/>
  <c r="N152" i="1"/>
  <c r="L152" i="1"/>
  <c r="K152" i="1"/>
  <c r="J152" i="1"/>
  <c r="T140" i="1"/>
  <c r="S140" i="1"/>
  <c r="R140" i="1"/>
  <c r="N140" i="1"/>
  <c r="L140" i="1"/>
  <c r="K140" i="1"/>
  <c r="J140" i="1"/>
  <c r="T134" i="1"/>
  <c r="S134" i="1"/>
  <c r="R134" i="1"/>
  <c r="N134" i="1"/>
  <c r="L134" i="1"/>
  <c r="K134" i="1"/>
  <c r="J134" i="1"/>
  <c r="T117" i="1"/>
  <c r="S117" i="1"/>
  <c r="R117" i="1"/>
  <c r="N117" i="1"/>
  <c r="K117" i="1"/>
  <c r="J117" i="1"/>
  <c r="P90" i="1"/>
  <c r="T80" i="1"/>
  <c r="S80" i="1"/>
  <c r="R80" i="1"/>
  <c r="N80" i="1"/>
  <c r="L80" i="1"/>
  <c r="K80" i="1"/>
  <c r="J80" i="1"/>
  <c r="T70" i="1"/>
  <c r="S70" i="1"/>
  <c r="R70" i="1"/>
  <c r="N70" i="1"/>
  <c r="L70" i="1"/>
  <c r="K70" i="1"/>
  <c r="J70" i="1"/>
  <c r="Q69" i="1"/>
  <c r="Q113" i="1" s="1"/>
  <c r="Q68" i="1"/>
  <c r="Q112" i="1" s="1"/>
  <c r="Q67" i="1"/>
  <c r="Q111" i="1" s="1"/>
  <c r="Q66" i="1"/>
  <c r="T55" i="1"/>
  <c r="S55" i="1"/>
  <c r="R55" i="1"/>
  <c r="N55" i="1"/>
  <c r="L55" i="1"/>
  <c r="K55" i="1"/>
  <c r="J55" i="1"/>
  <c r="Q54" i="1"/>
  <c r="Q109" i="1" s="1"/>
  <c r="Q53" i="1"/>
  <c r="Q108" i="1" s="1"/>
  <c r="Q52" i="1"/>
  <c r="Q107" i="1" s="1"/>
  <c r="Q51" i="1"/>
  <c r="K44" i="1"/>
  <c r="Q42" i="1"/>
  <c r="Q151" i="1" s="1"/>
  <c r="Q41" i="1"/>
  <c r="Q150" i="1" s="1"/>
  <c r="T44" i="1"/>
  <c r="S44" i="1"/>
  <c r="R44" i="1"/>
  <c r="Q40" i="1"/>
  <c r="N44" i="1"/>
  <c r="L44" i="1"/>
  <c r="J44" i="1"/>
  <c r="K157" i="1" l="1"/>
  <c r="K142" i="1"/>
  <c r="Q149" i="1"/>
  <c r="Q106" i="1"/>
  <c r="Q110" i="1"/>
  <c r="S163" i="1"/>
  <c r="S165" i="1" s="1"/>
  <c r="V80" i="1"/>
  <c r="V55" i="1"/>
  <c r="V44" i="1"/>
  <c r="O70" i="1"/>
  <c r="T163" i="1"/>
  <c r="T165" i="1" s="1"/>
  <c r="V70" i="1"/>
  <c r="T141" i="1"/>
  <c r="Q70" i="1"/>
  <c r="P52" i="1"/>
  <c r="P107" i="1" s="1"/>
  <c r="P53" i="1"/>
  <c r="P108" i="1" s="1"/>
  <c r="P54" i="1"/>
  <c r="P109" i="1" s="1"/>
  <c r="P68" i="1"/>
  <c r="P112" i="1" s="1"/>
  <c r="P69" i="1"/>
  <c r="P113" i="1" s="1"/>
  <c r="N141" i="1"/>
  <c r="L156" i="1"/>
  <c r="J141" i="1"/>
  <c r="L141" i="1"/>
  <c r="R141" i="1"/>
  <c r="N142" i="1"/>
  <c r="S141" i="1"/>
  <c r="N157" i="1"/>
  <c r="S156" i="1"/>
  <c r="O155" i="1"/>
  <c r="O152" i="1"/>
  <c r="O140" i="1"/>
  <c r="O117" i="1"/>
  <c r="Q55" i="1"/>
  <c r="P76" i="1"/>
  <c r="P137" i="1" s="1"/>
  <c r="P78" i="1"/>
  <c r="P139" i="1" s="1"/>
  <c r="P87" i="1"/>
  <c r="Q155" i="1"/>
  <c r="Q140" i="1"/>
  <c r="Q117" i="1"/>
  <c r="L142" i="1"/>
  <c r="P43" i="1"/>
  <c r="P105" i="1" s="1"/>
  <c r="O44" i="1"/>
  <c r="P40" i="1"/>
  <c r="J156" i="1"/>
  <c r="L157" i="1"/>
  <c r="R156" i="1"/>
  <c r="T156" i="1"/>
  <c r="N114" i="1"/>
  <c r="N118" i="1" s="1"/>
  <c r="K114" i="1"/>
  <c r="S114" i="1"/>
  <c r="S118" i="1" s="1"/>
  <c r="R114" i="1"/>
  <c r="R118" i="1" s="1"/>
  <c r="T114" i="1"/>
  <c r="T118" i="1" s="1"/>
  <c r="P66" i="1"/>
  <c r="J114" i="1"/>
  <c r="J118" i="1" s="1"/>
  <c r="P42" i="1"/>
  <c r="P151" i="1" s="1"/>
  <c r="O80" i="1"/>
  <c r="Q44" i="1"/>
  <c r="P51" i="1"/>
  <c r="P41" i="1"/>
  <c r="P150" i="1" s="1"/>
  <c r="O55" i="1"/>
  <c r="P67" i="1"/>
  <c r="P111" i="1" s="1"/>
  <c r="P77" i="1"/>
  <c r="P138" i="1" s="1"/>
  <c r="P79" i="1"/>
  <c r="P154" i="1" s="1"/>
  <c r="Q80" i="1"/>
  <c r="K141" i="1"/>
  <c r="N156" i="1"/>
  <c r="K156" i="1"/>
  <c r="K118" i="1" l="1"/>
  <c r="K119" i="1"/>
  <c r="P92" i="1"/>
  <c r="P93" i="1"/>
  <c r="O94" i="1" s="1"/>
  <c r="P149" i="1"/>
  <c r="P152" i="1" s="1"/>
  <c r="P106" i="1"/>
  <c r="P110" i="1"/>
  <c r="J164" i="1"/>
  <c r="H164" i="1" s="1"/>
  <c r="Q152" i="1"/>
  <c r="Q134" i="1"/>
  <c r="K158" i="1"/>
  <c r="K143" i="1"/>
  <c r="Q114" i="1"/>
  <c r="Q119" i="1" s="1"/>
  <c r="P155" i="1"/>
  <c r="P140" i="1"/>
  <c r="P117" i="1"/>
  <c r="O156" i="1"/>
  <c r="O157" i="1"/>
  <c r="O134" i="1"/>
  <c r="O114" i="1"/>
  <c r="O118" i="1" s="1"/>
  <c r="N119" i="1"/>
  <c r="L119" i="1"/>
  <c r="P55" i="1"/>
  <c r="P44" i="1"/>
  <c r="P80" i="1"/>
  <c r="P70" i="1"/>
  <c r="J163" i="1" l="1"/>
  <c r="H163" i="1" s="1"/>
  <c r="K120" i="1"/>
  <c r="Q156" i="1"/>
  <c r="Q157" i="1"/>
  <c r="L164" i="1"/>
  <c r="O164" i="1" s="1"/>
  <c r="V164" i="1" s="1"/>
  <c r="Q118" i="1"/>
  <c r="P134" i="1"/>
  <c r="P141" i="1" s="1"/>
  <c r="Q142" i="1"/>
  <c r="Q141" i="1"/>
  <c r="P114" i="1"/>
  <c r="P119" i="1" s="1"/>
  <c r="P157" i="1"/>
  <c r="O158" i="1" s="1"/>
  <c r="P156" i="1"/>
  <c r="O142" i="1"/>
  <c r="O141" i="1"/>
  <c r="O119" i="1"/>
  <c r="J165" i="1" l="1"/>
  <c r="O120" i="1"/>
  <c r="L163" i="1"/>
  <c r="L165" i="1" s="1"/>
  <c r="H165" i="1"/>
  <c r="Q164" i="1" s="1"/>
  <c r="P118" i="1"/>
  <c r="P142" i="1"/>
  <c r="O143" i="1" s="1"/>
  <c r="O163" i="1" l="1"/>
  <c r="O165" i="1" s="1"/>
  <c r="Q163" i="1"/>
  <c r="Q165" i="1" s="1"/>
</calcChain>
</file>

<file path=xl/sharedStrings.xml><?xml version="1.0" encoding="utf-8"?>
<sst xmlns="http://schemas.openxmlformats.org/spreadsheetml/2006/main" count="410" uniqueCount="159">
  <si>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</si>
  <si>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</si>
  <si>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</si>
  <si>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</si>
  <si>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</si>
  <si>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</si>
  <si>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</si>
  <si>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</si>
  <si>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</si>
  <si>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</si>
  <si>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</si>
  <si>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</si>
  <si>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</si>
  <si>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</si>
  <si>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</si>
  <si>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</si>
  <si>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</si>
  <si>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</si>
  <si>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</si>
  <si>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</si>
  <si>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</si>
  <si>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</si>
  <si>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</si>
  <si>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</si>
  <si>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</si>
  <si>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</si>
  <si>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</si>
  <si>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</si>
  <si>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</si>
  <si>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</si>
  <si>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T</t>
  </si>
  <si>
    <t>E</t>
  </si>
  <si>
    <t>VP</t>
  </si>
  <si>
    <t>F</t>
  </si>
  <si>
    <t>Semestrul I</t>
  </si>
  <si>
    <t>Semestrul II</t>
  </si>
  <si>
    <t>DF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</si>
  <si>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</si>
  <si>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</si>
  <si>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</si>
  <si>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</si>
  <si>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</si>
  <si>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</si>
  <si>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</si>
  <si>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</si>
  <si>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</si>
  <si>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</si>
  <si>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 xml:space="preserve">TOTAL ORE FIZICE / TOTAL ORE ALOCATE STUDIULUI </t>
  </si>
  <si>
    <t xml:space="preserve">Anexă la Planul de Învățământ specializarea / programul de studiu: 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</si>
  <si>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</si>
  <si>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</si>
  <si>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</si>
  <si>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</si>
  <si>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</si>
  <si>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</si>
  <si>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</si>
  <si>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</si>
  <si>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</si>
  <si>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</si>
  <si>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</si>
  <si>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</si>
  <si>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</si>
  <si>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</si>
  <si>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</si>
  <si>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I. CERINŢE PENTRU OBŢINEREA DIPLOMEI DE MASTER</t>
  </si>
  <si>
    <r>
      <rPr>
        <b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credite la examenul de susținere a disertației</t>
    </r>
  </si>
  <si>
    <t>DISCIPLINE COMPLEMENTARE (DC)</t>
  </si>
  <si>
    <t>XND 1101</t>
  </si>
  <si>
    <t>XND 1102</t>
  </si>
  <si>
    <t>XND 1203</t>
  </si>
  <si>
    <t>XND 1204</t>
  </si>
  <si>
    <t>Examen de absolvire: Nivelul II</t>
  </si>
  <si>
    <t xml:space="preserve">TOTAL CREDITE / ORE PE SĂPTĂMÂNĂ / EVALUĂRI </t>
  </si>
  <si>
    <t xml:space="preserve">PROGRAM DE STUDII PSIHOPEDAGOGICE </t>
  </si>
  <si>
    <t>An I, Semestrul 1</t>
  </si>
  <si>
    <t>An I, Semestrul 2</t>
  </si>
  <si>
    <t>An II, Semestrul 3</t>
  </si>
  <si>
    <t>An II, Semestrul 4</t>
  </si>
  <si>
    <t>Pentru a ocupa posturi didactice în învăţământul liceal, postliceal şi universitar, absolvenţii trebuie să posede Certificat de absolvire a Programului se studii psihopedagogice, Nivelul II, a Departamentului pentru pregătirea personalului didactic. Disciplinelor Departamentului li se repartizează 30 de credite (+ 5 credite aferente examenului de absolvire)</t>
  </si>
  <si>
    <t>MODUL PEDAGOCIC - Nivelul II: 30 de credite ECTS  + 5 credite ECTS aferente examenului de absolvire</t>
  </si>
  <si>
    <t>Psihopedagogia adolescenţilor, tinerilor şi adulţilor</t>
  </si>
  <si>
    <t>Proiectarea şi managementul programelor educaţionale</t>
  </si>
  <si>
    <t>DP</t>
  </si>
  <si>
    <t>DO</t>
  </si>
  <si>
    <t xml:space="preserve">Practică pedagogică (în învăţământul liceal, postliceal şi universitar)
</t>
  </si>
  <si>
    <t>XND 2305</t>
  </si>
  <si>
    <t>XND 2306</t>
  </si>
  <si>
    <t>DF – Discipline de extensie a pregătirii psihopedagogice fundamentale (obligatorii)</t>
  </si>
  <si>
    <t>DP – Discipline de extensie a pregătirii didactice şi practice de specialitate (obligatorii)</t>
  </si>
  <si>
    <t xml:space="preserve">DO - Discipline opţionale </t>
  </si>
  <si>
    <t>Verificați standardele specifice domeniului dumneavoastră pentru a evita incongruențele.</t>
  </si>
  <si>
    <t>ÎN TOATE TABELELE DIN ACEASTĂ MACHETĂ, TREBUIE SĂ INTRODUCEȚI  DATE NUMAI ÎN CELULELE MARCATE CU GALBEN</t>
  </si>
  <si>
    <t>Tabelele/rândurile necompletate se șterg sau se ascund (dacă afectează formulele) HIDE</t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</si>
  <si>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iunie-iulie (1 săptămână)
Proba: Prezentarea şi susţinerea lucrării de disertație - 10 credite
</t>
    </r>
  </si>
  <si>
    <t>Didactica domeniului şi dezvoltăriI în didactica specialităţii (învăţământ liceal, postliceal, universitar)</t>
  </si>
  <si>
    <t>Disciplină opțională 1</t>
  </si>
  <si>
    <t>Disciplină opțională 2</t>
  </si>
  <si>
    <t>PLAN DE ÎNVĂŢĂMÂNT  valabil începând din anul universitar 2018-2019</t>
  </si>
  <si>
    <t>Titlul absolventului: MASTER</t>
  </si>
  <si>
    <t>DA</t>
  </si>
  <si>
    <t>DSIN</t>
  </si>
  <si>
    <t>DISCIPLINE DE SPECIALITATE  (DS)</t>
  </si>
  <si>
    <t>În contul a cel mult 3 discipline opţionale generale, studentul are dreptul să aleagă 3 discipline de la alte specializări ale facultăţilor din Universitatea „Babeş-Bolyai”, respectând condiționările din planurile de învățământ ale respectivelor specializări.</t>
  </si>
  <si>
    <t>L</t>
  </si>
  <si>
    <t>P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</si>
  <si>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Planul de învățământ urmează în proporție de 60 %  planurile de învățământ de la următoarele universități: Universitatea Tor Vergata Roma, Universitatea Heidelberg.</t>
    </r>
  </si>
  <si>
    <t>FACULTATEA DE MATEMATICĂ ȘI INFORMATICĂ</t>
  </si>
  <si>
    <r>
      <t xml:space="preserve">Domeniul: </t>
    </r>
    <r>
      <rPr>
        <b/>
        <sz val="10"/>
        <color indexed="8"/>
        <rFont val="Times New Roman"/>
        <family val="1"/>
        <charset val="238"/>
      </rPr>
      <t>Matematică</t>
    </r>
  </si>
  <si>
    <r>
      <t xml:space="preserve">Specializarea/Programul de studiu: </t>
    </r>
    <r>
      <rPr>
        <b/>
        <sz val="10"/>
        <color indexed="8"/>
        <rFont val="Times New Roman"/>
        <family val="1"/>
        <charset val="238"/>
      </rPr>
      <t>Matematică Didactică</t>
    </r>
  </si>
  <si>
    <r>
      <t xml:space="preserve">Limba de predare: </t>
    </r>
    <r>
      <rPr>
        <b/>
        <sz val="10"/>
        <color indexed="8"/>
        <rFont val="Times New Roman"/>
        <family val="1"/>
        <charset val="238"/>
      </rPr>
      <t>română</t>
    </r>
  </si>
  <si>
    <r>
      <rPr>
        <b/>
        <sz val="10"/>
        <color indexed="8"/>
        <rFont val="Times New Roman"/>
        <family val="1"/>
      </rPr>
      <t xml:space="preserve">104 </t>
    </r>
    <r>
      <rPr>
        <sz val="10"/>
        <color indexed="8"/>
        <rFont val="Times New Roman"/>
        <family val="1"/>
      </rPr>
      <t>de credite la disciplinele obligatorii;</t>
    </r>
  </si>
  <si>
    <r>
      <rPr>
        <b/>
        <sz val="10"/>
        <color indexed="8"/>
        <rFont val="Times New Roman"/>
        <family val="1"/>
      </rPr>
      <t xml:space="preserve">16 </t>
    </r>
    <r>
      <rPr>
        <sz val="10"/>
        <color indexed="8"/>
        <rFont val="Times New Roman"/>
        <family val="1"/>
      </rPr>
      <t>de credite la disciplinele opţionale;</t>
    </r>
  </si>
  <si>
    <t>0</t>
  </si>
  <si>
    <t>MMR3046</t>
  </si>
  <si>
    <t>Teme de algebră I (pentru perfecționarea profesorilor)</t>
  </si>
  <si>
    <t>MMR3034</t>
  </si>
  <si>
    <t>Teme de geometrie I (pentru perfecționarea profesorilor)</t>
  </si>
  <si>
    <t>MMR3008</t>
  </si>
  <si>
    <t>Teme de analiză matematică I (pentru perfecționarea profesorilor)</t>
  </si>
  <si>
    <t>MMR3057</t>
  </si>
  <si>
    <t>Instruire asistată de calculator</t>
  </si>
  <si>
    <t>MMR3047</t>
  </si>
  <si>
    <t>Teme de algebră II (pentru perfecționarea profesorilor)</t>
  </si>
  <si>
    <t>MMR3009</t>
  </si>
  <si>
    <t>Teme de analiză matematică II (pentru perfecționarea profesorilor)</t>
  </si>
  <si>
    <t>MMR3022</t>
  </si>
  <si>
    <t>Teme de calcul numeric și aproximare (pentru perfecționarea profesorilor)</t>
  </si>
  <si>
    <t>MMR3096</t>
  </si>
  <si>
    <t>Aspecte metodice privind predarea matematicii cu softuri educaționale (GeoGebra, Microsoft Mathematics, Graph)</t>
  </si>
  <si>
    <t>MMR3029</t>
  </si>
  <si>
    <t>Teme de matematică aplicată (pentru perfecționarea profesorilor)</t>
  </si>
  <si>
    <t>Teme de geometrie II (pentru perfecționarea profesorilor)</t>
  </si>
  <si>
    <t>MMR3035</t>
  </si>
  <si>
    <t>MMR3041</t>
  </si>
  <si>
    <t>Metodologia cercetării științifice de matematică</t>
  </si>
  <si>
    <t>MMR3055</t>
  </si>
  <si>
    <t>Teme de mecanică și astronomie (pentru perfecționarea profesorilor)</t>
  </si>
  <si>
    <t>MMX3221</t>
  </si>
  <si>
    <t>Curs opțional 1</t>
  </si>
  <si>
    <t>MMX3222</t>
  </si>
  <si>
    <t>Curs opțional 2</t>
  </si>
  <si>
    <t>MMR3056</t>
  </si>
  <si>
    <t>Proiect științific</t>
  </si>
  <si>
    <t>MMR3401</t>
  </si>
  <si>
    <t>Elaborarea lucrării de disertație</t>
  </si>
  <si>
    <t>MMR7002</t>
  </si>
  <si>
    <t>Practică</t>
  </si>
  <si>
    <t>MME3048</t>
  </si>
  <si>
    <t>Teme de algebră III (pentru perfecționarea profesorilor)</t>
  </si>
  <si>
    <t>MME3036</t>
  </si>
  <si>
    <t>Teme de geometrie III (pentru perfecționarea profesorilor)</t>
  </si>
  <si>
    <t>MME3010</t>
  </si>
  <si>
    <t>Teme de analiză matematică III (pentru perfecționarea profesorilor)</t>
  </si>
  <si>
    <t>MME3102</t>
  </si>
  <si>
    <t>Analiză neliniară aplicată</t>
  </si>
  <si>
    <t>CURS OPȚIONAL 1 (An II, Semestrul 4)- (MMX3221)</t>
  </si>
  <si>
    <t>CURS OPȚIONAL 2 (An II, Semestrul 4)- (MMX3222)</t>
  </si>
  <si>
    <t>Sem. 4: Se alege  o disciplină din pachetul: MMX3221</t>
  </si>
  <si>
    <t>Sem. 4: Se alege  o disciplină din pachetul: MMX3222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</si>
</sst>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Calibri"/>
      <family val="2"/>
      <charset val="238"/>
      <scheme val="minor"/>
    </font>
    <font>
      <sz val="10"/>
      <color rgb="FFFF0000"/>
      <name val="Times New Roman"/>
      <family val="1"/>
    </font>
    <font>
      <b/>
      <sz val="10"/>
      <color indexed="8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2" fillId="0" borderId="4" xfId="0" applyFont="1" applyBorder="1" applyProtection="1"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</xf>
    <xf numFmtId="1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1" fontId="1" fillId="5" borderId="1" xfId="0" applyNumberFormat="1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center" vertical="center"/>
    </xf>
    <xf numFmtId="1" fontId="2" fillId="5" borderId="1" xfId="0" applyNumberFormat="1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locked="0"/>
    </xf>
    <xf numFmtId="1" fontId="11" fillId="5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Protection="1">
      <protection locked="0"/>
    </xf>
    <xf numFmtId="10" fontId="2" fillId="3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1" fontId="1" fillId="5" borderId="1" xfId="0" applyNumberFormat="1" applyFont="1" applyFill="1" applyBorder="1" applyAlignment="1" applyProtection="1">
      <alignment horizontal="left" vertical="center"/>
      <protection locked="0"/>
    </xf>
    <xf numFmtId="1" fontId="1" fillId="5" borderId="2" xfId="0" applyNumberFormat="1" applyFont="1" applyFill="1" applyBorder="1" applyAlignment="1" applyProtection="1">
      <alignment horizontal="left" vertical="center" wrapText="1"/>
      <protection locked="0"/>
    </xf>
    <xf numFmtId="1" fontId="1" fillId="5" borderId="5" xfId="0" applyNumberFormat="1" applyFont="1" applyFill="1" applyBorder="1" applyAlignment="1" applyProtection="1">
      <alignment horizontal="left" vertical="center"/>
      <protection locked="0"/>
    </xf>
    <xf numFmtId="1" fontId="1" fillId="5" borderId="6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/>
    <xf numFmtId="0" fontId="8" fillId="0" borderId="2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9" fontId="8" fillId="0" borderId="2" xfId="0" applyNumberFormat="1" applyFont="1" applyBorder="1" applyAlignment="1" applyProtection="1">
      <alignment horizontal="center" vertical="center"/>
    </xf>
    <xf numFmtId="9" fontId="8" fillId="0" borderId="6" xfId="0" applyNumberFormat="1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9" fontId="9" fillId="0" borderId="2" xfId="0" applyNumberFormat="1" applyFont="1" applyBorder="1" applyAlignment="1" applyProtection="1">
      <alignment horizontal="center"/>
    </xf>
    <xf numFmtId="9" fontId="9" fillId="0" borderId="6" xfId="0" applyNumberFormat="1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" fontId="2" fillId="5" borderId="2" xfId="0" applyNumberFormat="1" applyFont="1" applyFill="1" applyBorder="1" applyAlignment="1" applyProtection="1">
      <alignment horizontal="center" vertical="center"/>
      <protection locked="0"/>
    </xf>
    <xf numFmtId="1" fontId="2" fillId="5" borderId="5" xfId="0" applyNumberFormat="1" applyFont="1" applyFill="1" applyBorder="1" applyAlignment="1" applyProtection="1">
      <alignment horizontal="center" vertical="center"/>
      <protection locked="0"/>
    </xf>
    <xf numFmtId="1" fontId="2" fillId="5" borderId="6" xfId="0" applyNumberFormat="1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2" fillId="5" borderId="6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5" borderId="4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left" vertical="center" wrapText="1"/>
    </xf>
    <xf numFmtId="0" fontId="2" fillId="5" borderId="11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8" xfId="0" applyFont="1" applyFill="1" applyBorder="1" applyAlignment="1" applyProtection="1">
      <alignment horizontal="left" vertical="center" wrapText="1"/>
    </xf>
    <xf numFmtId="2" fontId="1" fillId="5" borderId="9" xfId="0" applyNumberFormat="1" applyFont="1" applyFill="1" applyBorder="1" applyAlignment="1" applyProtection="1">
      <alignment horizontal="center" vertical="center"/>
    </xf>
    <xf numFmtId="2" fontId="1" fillId="5" borderId="4" xfId="0" applyNumberFormat="1" applyFont="1" applyFill="1" applyBorder="1" applyAlignment="1" applyProtection="1">
      <alignment horizontal="center" vertical="center"/>
    </xf>
    <xf numFmtId="2" fontId="1" fillId="5" borderId="10" xfId="0" applyNumberFormat="1" applyFont="1" applyFill="1" applyBorder="1" applyAlignment="1" applyProtection="1">
      <alignment horizontal="center" vertical="center"/>
    </xf>
    <xf numFmtId="2" fontId="1" fillId="5" borderId="11" xfId="0" applyNumberFormat="1" applyFont="1" applyFill="1" applyBorder="1" applyAlignment="1" applyProtection="1">
      <alignment horizontal="center" vertical="center"/>
    </xf>
    <xf numFmtId="2" fontId="1" fillId="5" borderId="7" xfId="0" applyNumberFormat="1" applyFont="1" applyFill="1" applyBorder="1" applyAlignment="1" applyProtection="1">
      <alignment horizontal="center" vertical="center"/>
    </xf>
    <xf numFmtId="2" fontId="1" fillId="5" borderId="8" xfId="0" applyNumberFormat="1" applyFont="1" applyFill="1" applyBorder="1" applyAlignment="1" applyProtection="1">
      <alignment horizontal="center" vertical="center"/>
    </xf>
    <xf numFmtId="1" fontId="2" fillId="5" borderId="2" xfId="0" applyNumberFormat="1" applyFont="1" applyFill="1" applyBorder="1" applyAlignment="1" applyProtection="1">
      <alignment horizontal="center" vertical="center"/>
    </xf>
    <xf numFmtId="1" fontId="2" fillId="5" borderId="5" xfId="0" applyNumberFormat="1" applyFont="1" applyFill="1" applyBorder="1" applyAlignment="1" applyProtection="1">
      <alignment horizontal="center" vertical="center"/>
    </xf>
    <xf numFmtId="1" fontId="2" fillId="5" borderId="6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2" fillId="0" borderId="7" xfId="0" applyFont="1" applyBorder="1" applyProtection="1">
      <protection locked="0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Protection="1">
      <protection locked="0"/>
    </xf>
    <xf numFmtId="0" fontId="2" fillId="8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8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5" xfId="0" applyFont="1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8" borderId="0" xfId="0" applyFont="1" applyFill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8" borderId="0" xfId="0" applyFont="1" applyFill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1" fillId="4" borderId="14" xfId="0" applyFont="1" applyFill="1" applyBorder="1" applyAlignment="1" applyProtection="1">
      <alignment wrapText="1"/>
    </xf>
    <xf numFmtId="0" fontId="1" fillId="4" borderId="0" xfId="0" applyFont="1" applyFill="1" applyBorder="1" applyAlignment="1" applyProtection="1">
      <alignment wrapText="1"/>
    </xf>
    <xf numFmtId="0" fontId="1" fillId="0" borderId="0" xfId="0" applyFont="1" applyAlignment="1" applyProtection="1">
      <alignment wrapText="1"/>
    </xf>
    <xf numFmtId="0" fontId="1" fillId="0" borderId="14" xfId="0" applyFont="1" applyBorder="1" applyProtection="1">
      <protection locked="0"/>
    </xf>
    <xf numFmtId="0" fontId="1" fillId="0" borderId="0" xfId="0" applyFont="1" applyProtection="1">
      <protection locked="0"/>
    </xf>
    <xf numFmtId="0" fontId="12" fillId="6" borderId="0" xfId="0" applyFont="1" applyFill="1" applyAlignment="1" applyProtection="1">
      <alignment vertical="center" wrapText="1"/>
      <protection locked="0"/>
    </xf>
    <xf numFmtId="0" fontId="13" fillId="6" borderId="0" xfId="0" applyFont="1" applyFill="1" applyAlignment="1">
      <alignment vertical="center" wrapText="1"/>
    </xf>
    <xf numFmtId="0" fontId="13" fillId="0" borderId="0" xfId="0" applyFont="1" applyAlignment="1"/>
    <xf numFmtId="0" fontId="2" fillId="7" borderId="0" xfId="0" applyFont="1" applyFill="1" applyAlignment="1" applyProtection="1">
      <alignment horizontal="left" vertical="top" wrapText="1"/>
      <protection locked="0"/>
    </xf>
    <xf numFmtId="0" fontId="12" fillId="7" borderId="0" xfId="0" applyFont="1" applyFill="1" applyAlignment="1" applyProtection="1">
      <alignment wrapText="1"/>
      <protection locked="0"/>
    </xf>
    <xf numFmtId="0" fontId="0" fillId="7" borderId="0" xfId="0" applyFill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 applyProtection="1">
      <protection locked="0"/>
    </xf>
    <xf numFmtId="0" fontId="0" fillId="0" borderId="0" xfId="0" applyAlignment="1"/>
  </cellXfs>
  <cellStyles count="1">
    <cellStyle name="Normal" xfId="0" builtinId="0"/>
  </cellStyles>
  <dxfs count="24"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4"/>
  <sheetViews>
    <sheetView tabSelected="1" view="pageLayout" zoomScaleNormal="100" workbookViewId="0">
      <selection activeCell="V32" sqref="U32:V32"/>
    </sheetView>
  </sheetViews>
  <sheetFormatPr defaultRowHeight="12.75" x14ac:dyDescent="0.2"/>
  <cols>
    <col min="1" max="1" width="9.28515625" style="1" customWidth="1"/>
    <col min="2" max="2" width="7.140625" style="1" customWidth="1"/>
    <col min="3" max="3" width="7.28515625" style="1" customWidth="1"/>
    <col min="4" max="5" width="4.7109375" style="1" customWidth="1"/>
    <col min="6" max="6" width="4.5703125" style="1" customWidth="1"/>
    <col min="7" max="7" width="8.140625" style="1" customWidth="1"/>
    <col min="8" max="8" width="8.28515625" style="1" customWidth="1"/>
    <col min="9" max="9" width="5.85546875" style="1" customWidth="1"/>
    <col min="10" max="10" width="7.28515625" style="1" customWidth="1"/>
    <col min="11" max="11" width="5.7109375" style="1" customWidth="1"/>
    <col min="12" max="12" width="6.140625" style="1" customWidth="1"/>
    <col min="13" max="13" width="6.140625" style="59" customWidth="1"/>
    <col min="14" max="14" width="5.5703125" style="1" customWidth="1"/>
    <col min="15" max="19" width="6" style="1" customWidth="1"/>
    <col min="20" max="20" width="6.140625" style="1" customWidth="1"/>
    <col min="21" max="21" width="9.28515625" style="1" customWidth="1"/>
    <col min="22" max="27" width="9.140625" style="1"/>
    <col min="28" max="28" width="11" style="1" customWidth="1"/>
    <col min="29" max="16384" width="9.140625" style="1"/>
  </cols>
  <sheetData>
    <row r="1" spans="1:29" ht="15.75" customHeight="1" x14ac:dyDescent="0.2">
      <c r="A1" s="85" t="s">
        <v>97</v>
      </c>
      <c r="B1" s="85"/>
      <c r="C1" s="85"/>
      <c r="D1" s="85"/>
      <c r="E1" s="85"/>
      <c r="F1" s="85"/>
      <c r="G1" s="85"/>
      <c r="H1" s="85"/>
      <c r="I1" s="85"/>
      <c r="J1" s="85"/>
      <c r="K1" s="85"/>
      <c r="N1" s="189" t="s">
        <v>19</v>
      </c>
      <c r="O1" s="189"/>
      <c r="P1" s="189"/>
      <c r="Q1" s="189"/>
      <c r="R1" s="189"/>
      <c r="S1" s="189"/>
      <c r="T1" s="189"/>
      <c r="U1" s="189"/>
    </row>
    <row r="2" spans="1:29" ht="6.7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29" ht="39" customHeight="1" x14ac:dyDescent="0.2">
      <c r="A3" s="184" t="s">
        <v>0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N3" s="194"/>
      <c r="O3" s="195"/>
      <c r="P3" s="198" t="s">
        <v>34</v>
      </c>
      <c r="Q3" s="199"/>
      <c r="R3" s="200"/>
      <c r="S3" s="198" t="s">
        <v>35</v>
      </c>
      <c r="T3" s="199"/>
      <c r="U3" s="200"/>
      <c r="V3" s="228" t="str">
        <f>IF(P4&gt;=12,"Corect","Trebuie alocate cel puțin 12 de ore pe săptămână")</f>
        <v>Corect</v>
      </c>
      <c r="W3" s="229"/>
      <c r="X3" s="229"/>
      <c r="Y3" s="229"/>
      <c r="Z3" s="1">
        <f>(17+17+16)*14+20*12</f>
        <v>940</v>
      </c>
    </row>
    <row r="4" spans="1:29" ht="17.25" customHeight="1" x14ac:dyDescent="0.2">
      <c r="A4" s="190" t="s">
        <v>106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N4" s="196" t="s">
        <v>14</v>
      </c>
      <c r="O4" s="197"/>
      <c r="P4" s="216">
        <v>17</v>
      </c>
      <c r="Q4" s="217"/>
      <c r="R4" s="218"/>
      <c r="S4" s="216">
        <v>17</v>
      </c>
      <c r="T4" s="217"/>
      <c r="U4" s="218"/>
      <c r="V4" s="228" t="str">
        <f>IF(S4&gt;=12,"Corect","Trebuie alocate cel puțin 12 de ore pe săptămână")</f>
        <v>Corect</v>
      </c>
      <c r="W4" s="229"/>
      <c r="X4" s="229"/>
      <c r="Y4" s="229"/>
    </row>
    <row r="5" spans="1:29" ht="16.5" customHeight="1" x14ac:dyDescent="0.2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N5" s="196" t="s">
        <v>15</v>
      </c>
      <c r="O5" s="197"/>
      <c r="P5" s="216">
        <v>16</v>
      </c>
      <c r="Q5" s="217"/>
      <c r="R5" s="218"/>
      <c r="S5" s="216">
        <v>20</v>
      </c>
      <c r="T5" s="217"/>
      <c r="U5" s="218"/>
      <c r="V5" s="228" t="str">
        <f>IF(P5&gt;=12,"Corect","Trebuie alocate cel puțin 12 de ore pe săptămână")</f>
        <v>Corect</v>
      </c>
      <c r="W5" s="229"/>
      <c r="X5" s="229"/>
      <c r="Y5" s="229"/>
    </row>
    <row r="6" spans="1:29" ht="15" customHeight="1" x14ac:dyDescent="0.2">
      <c r="A6" s="222" t="s">
        <v>107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N6" s="223"/>
      <c r="O6" s="223"/>
      <c r="P6" s="219"/>
      <c r="Q6" s="219"/>
      <c r="R6" s="219"/>
      <c r="S6" s="219"/>
      <c r="T6" s="219"/>
      <c r="U6" s="219"/>
      <c r="V6" s="228" t="str">
        <f>IF(S5&gt;=12,"Corect","Trebuie alocate cel puțin 12 de ore pe săptămână")</f>
        <v>Corect</v>
      </c>
      <c r="W6" s="229"/>
      <c r="X6" s="229"/>
      <c r="Y6" s="229"/>
    </row>
    <row r="7" spans="1:29" ht="18" customHeight="1" x14ac:dyDescent="0.2">
      <c r="A7" s="224" t="s">
        <v>108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</row>
    <row r="8" spans="1:29" ht="18.75" customHeight="1" x14ac:dyDescent="0.2">
      <c r="A8" s="207" t="s">
        <v>109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N8" s="220" t="s">
        <v>93</v>
      </c>
      <c r="O8" s="220"/>
      <c r="P8" s="220"/>
      <c r="Q8" s="220"/>
      <c r="R8" s="220"/>
      <c r="S8" s="220"/>
      <c r="T8" s="220"/>
      <c r="U8" s="220"/>
    </row>
    <row r="9" spans="1:29" ht="15" customHeight="1" x14ac:dyDescent="0.2">
      <c r="A9" s="193" t="s">
        <v>98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N9" s="220"/>
      <c r="O9" s="220"/>
      <c r="P9" s="220"/>
      <c r="Q9" s="220"/>
      <c r="R9" s="220"/>
      <c r="S9" s="220"/>
      <c r="T9" s="220"/>
      <c r="U9" s="220"/>
      <c r="V9" s="233" t="s">
        <v>90</v>
      </c>
      <c r="W9" s="234"/>
      <c r="X9" s="234"/>
      <c r="Y9" s="235"/>
      <c r="Z9" s="235"/>
      <c r="AA9" s="235"/>
      <c r="AB9" s="54"/>
    </row>
    <row r="10" spans="1:29" ht="16.5" customHeight="1" x14ac:dyDescent="0.2">
      <c r="A10" s="193" t="s">
        <v>59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N10" s="220"/>
      <c r="O10" s="220"/>
      <c r="P10" s="220"/>
      <c r="Q10" s="220"/>
      <c r="R10" s="220"/>
      <c r="S10" s="220"/>
      <c r="T10" s="220"/>
      <c r="U10" s="220"/>
      <c r="V10" s="234"/>
      <c r="W10" s="234"/>
      <c r="X10" s="234"/>
      <c r="Y10" s="235"/>
      <c r="Z10" s="235"/>
      <c r="AA10" s="235"/>
      <c r="AB10" s="54"/>
    </row>
    <row r="11" spans="1:29" x14ac:dyDescent="0.2">
      <c r="A11" s="193" t="s">
        <v>17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N11" s="220"/>
      <c r="O11" s="220"/>
      <c r="P11" s="220"/>
      <c r="Q11" s="220"/>
      <c r="R11" s="220"/>
      <c r="S11" s="220"/>
      <c r="T11" s="220"/>
      <c r="U11" s="220"/>
      <c r="V11" s="234"/>
      <c r="W11" s="234"/>
      <c r="X11" s="234"/>
      <c r="Y11" s="235"/>
      <c r="Z11" s="235"/>
      <c r="AA11" s="235"/>
      <c r="AB11" s="54"/>
    </row>
    <row r="12" spans="1:29" ht="10.5" customHeight="1" x14ac:dyDescent="0.2">
      <c r="A12" s="193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N12" s="2"/>
      <c r="O12" s="2"/>
      <c r="P12" s="2"/>
      <c r="Q12" s="2"/>
      <c r="R12" s="2"/>
      <c r="S12" s="2"/>
      <c r="V12" s="234"/>
      <c r="W12" s="234"/>
      <c r="X12" s="234"/>
      <c r="Y12" s="235"/>
      <c r="Z12" s="235"/>
      <c r="AA12" s="235"/>
      <c r="AB12" s="54"/>
    </row>
    <row r="13" spans="1:29" x14ac:dyDescent="0.2">
      <c r="A13" s="206" t="s">
        <v>64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N13" s="208" t="s">
        <v>20</v>
      </c>
      <c r="O13" s="208"/>
      <c r="P13" s="208"/>
      <c r="Q13" s="208"/>
      <c r="R13" s="208"/>
      <c r="S13" s="208"/>
      <c r="T13" s="208"/>
      <c r="U13" s="208"/>
      <c r="V13" s="54"/>
      <c r="W13" s="54"/>
      <c r="X13" s="54"/>
      <c r="Y13" s="54"/>
      <c r="Z13" s="54"/>
      <c r="AA13" s="54"/>
      <c r="AB13" s="54"/>
    </row>
    <row r="14" spans="1:29" ht="12.75" customHeight="1" x14ac:dyDescent="0.2">
      <c r="A14" s="206" t="s">
        <v>60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N14" s="188" t="s">
        <v>157</v>
      </c>
      <c r="O14" s="188"/>
      <c r="P14" s="188"/>
      <c r="Q14" s="188"/>
      <c r="R14" s="188"/>
      <c r="S14" s="188"/>
      <c r="T14" s="188"/>
      <c r="U14" s="188"/>
      <c r="V14" s="54"/>
      <c r="W14" s="54"/>
      <c r="X14" s="54"/>
      <c r="Y14" s="54"/>
      <c r="Z14" s="54"/>
      <c r="AA14" s="54"/>
      <c r="AB14" s="54"/>
    </row>
    <row r="15" spans="1:29" ht="12.75" customHeight="1" x14ac:dyDescent="0.2">
      <c r="A15" s="207" t="s">
        <v>110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N15" s="188" t="s">
        <v>158</v>
      </c>
      <c r="O15" s="188"/>
      <c r="P15" s="188"/>
      <c r="Q15" s="188"/>
      <c r="R15" s="188"/>
      <c r="S15" s="188"/>
      <c r="T15" s="188"/>
      <c r="U15" s="188"/>
      <c r="V15" s="236" t="s">
        <v>91</v>
      </c>
      <c r="W15" s="236"/>
      <c r="X15" s="236"/>
      <c r="Y15" s="236"/>
      <c r="Z15" s="236"/>
      <c r="AA15" s="236"/>
      <c r="AB15" s="54"/>
    </row>
    <row r="16" spans="1:29" ht="12.75" customHeight="1" x14ac:dyDescent="0.25">
      <c r="A16" s="207" t="s">
        <v>111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N16" s="209"/>
      <c r="O16" s="209"/>
      <c r="P16" s="209"/>
      <c r="Q16" s="209"/>
      <c r="R16" s="209"/>
      <c r="S16" s="209"/>
      <c r="T16" s="209"/>
      <c r="U16" s="209"/>
      <c r="V16" s="236"/>
      <c r="W16" s="236"/>
      <c r="X16" s="236"/>
      <c r="Y16" s="236"/>
      <c r="Z16" s="236"/>
      <c r="AA16" s="236"/>
      <c r="AB16" s="240"/>
      <c r="AC16" s="241"/>
    </row>
    <row r="17" spans="1:28" ht="12.75" customHeight="1" x14ac:dyDescent="0.2">
      <c r="A17" s="193" t="s">
        <v>1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N17" s="188"/>
      <c r="O17" s="188"/>
      <c r="P17" s="188"/>
      <c r="Q17" s="188"/>
      <c r="R17" s="188"/>
      <c r="S17" s="188"/>
      <c r="T17" s="188"/>
      <c r="U17" s="188"/>
      <c r="V17" s="236"/>
      <c r="W17" s="236"/>
      <c r="X17" s="236"/>
      <c r="Y17" s="236"/>
      <c r="Z17" s="236"/>
      <c r="AA17" s="236"/>
      <c r="AB17" s="54"/>
    </row>
    <row r="18" spans="1:28" ht="14.25" customHeight="1" x14ac:dyDescent="0.2">
      <c r="A18" s="193" t="s">
        <v>65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N18" s="188"/>
      <c r="O18" s="188"/>
      <c r="P18" s="188"/>
      <c r="Q18" s="188"/>
      <c r="R18" s="188"/>
      <c r="S18" s="188"/>
      <c r="T18" s="188"/>
      <c r="U18" s="188"/>
      <c r="V18" s="54"/>
      <c r="W18" s="54"/>
      <c r="X18" s="54"/>
      <c r="Y18" s="54"/>
      <c r="Z18" s="54"/>
      <c r="AA18" s="54"/>
      <c r="AB18" s="54"/>
    </row>
    <row r="19" spans="1:28" x14ac:dyDescent="0.2">
      <c r="A19" s="193"/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N19" s="188"/>
      <c r="O19" s="188"/>
      <c r="P19" s="188"/>
      <c r="Q19" s="188"/>
      <c r="R19" s="188"/>
      <c r="S19" s="188"/>
      <c r="T19" s="188"/>
      <c r="U19" s="188"/>
      <c r="V19" s="54"/>
      <c r="W19" s="54"/>
      <c r="X19" s="54"/>
      <c r="Y19" s="54"/>
      <c r="Z19" s="54"/>
      <c r="AA19" s="54"/>
      <c r="AB19" s="54"/>
    </row>
    <row r="20" spans="1:28" ht="7.5" customHeight="1" x14ac:dyDescent="0.2">
      <c r="A20" s="220" t="s">
        <v>78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N20" s="2"/>
      <c r="O20" s="2"/>
      <c r="P20" s="2"/>
      <c r="Q20" s="2"/>
      <c r="R20" s="2"/>
      <c r="S20" s="2"/>
      <c r="V20" s="237" t="s">
        <v>92</v>
      </c>
      <c r="W20" s="238"/>
      <c r="X20" s="238"/>
      <c r="Y20" s="238"/>
      <c r="Z20" s="238"/>
      <c r="AA20" s="238"/>
      <c r="AB20" s="239"/>
    </row>
    <row r="21" spans="1:28" ht="15" customHeight="1" x14ac:dyDescent="0.2">
      <c r="A21" s="220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N21" s="105" t="s">
        <v>102</v>
      </c>
      <c r="O21" s="105"/>
      <c r="P21" s="105"/>
      <c r="Q21" s="105"/>
      <c r="R21" s="105"/>
      <c r="S21" s="105"/>
      <c r="T21" s="105"/>
      <c r="U21" s="105"/>
      <c r="V21" s="239"/>
      <c r="W21" s="239"/>
      <c r="X21" s="239"/>
      <c r="Y21" s="239"/>
      <c r="Z21" s="239"/>
      <c r="AA21" s="239"/>
      <c r="AB21" s="239"/>
    </row>
    <row r="22" spans="1:28" ht="15" customHeight="1" x14ac:dyDescent="0.2">
      <c r="A22" s="220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N22" s="105"/>
      <c r="O22" s="105"/>
      <c r="P22" s="105"/>
      <c r="Q22" s="105"/>
      <c r="R22" s="105"/>
      <c r="S22" s="105"/>
      <c r="T22" s="105"/>
      <c r="U22" s="105"/>
      <c r="V22" s="239"/>
      <c r="W22" s="239"/>
      <c r="X22" s="239"/>
      <c r="Y22" s="239"/>
      <c r="Z22" s="239"/>
      <c r="AA22" s="239"/>
      <c r="AB22" s="239"/>
    </row>
    <row r="23" spans="1:28" ht="24" customHeight="1" x14ac:dyDescent="0.2">
      <c r="A23" s="220"/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N23" s="105"/>
      <c r="O23" s="105"/>
      <c r="P23" s="105"/>
      <c r="Q23" s="105"/>
      <c r="R23" s="105"/>
      <c r="S23" s="105"/>
      <c r="T23" s="105"/>
      <c r="U23" s="105"/>
      <c r="V23" s="239"/>
      <c r="W23" s="239"/>
      <c r="X23" s="239"/>
      <c r="Y23" s="239"/>
      <c r="Z23" s="239"/>
      <c r="AA23" s="239"/>
      <c r="AB23" s="239"/>
    </row>
    <row r="24" spans="1:28" ht="13.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N24" s="3"/>
      <c r="O24" s="3"/>
      <c r="P24" s="3"/>
      <c r="Q24" s="3"/>
      <c r="R24" s="3"/>
      <c r="S24" s="3"/>
    </row>
    <row r="25" spans="1:28" x14ac:dyDescent="0.2">
      <c r="A25" s="141" t="s">
        <v>16</v>
      </c>
      <c r="B25" s="141"/>
      <c r="C25" s="141"/>
      <c r="D25" s="141"/>
      <c r="E25" s="141"/>
      <c r="F25" s="141"/>
      <c r="G25" s="141"/>
      <c r="N25" s="221" t="s">
        <v>105</v>
      </c>
      <c r="O25" s="221"/>
      <c r="P25" s="221"/>
      <c r="Q25" s="221"/>
      <c r="R25" s="221"/>
      <c r="S25" s="221"/>
      <c r="T25" s="221"/>
      <c r="U25" s="221"/>
    </row>
    <row r="26" spans="1:28" ht="26.25" customHeight="1" x14ac:dyDescent="0.2">
      <c r="A26" s="4"/>
      <c r="B26" s="198" t="s">
        <v>2</v>
      </c>
      <c r="C26" s="200"/>
      <c r="D26" s="198" t="s">
        <v>3</v>
      </c>
      <c r="E26" s="199"/>
      <c r="F26" s="200"/>
      <c r="G26" s="182" t="s">
        <v>18</v>
      </c>
      <c r="H26" s="182" t="s">
        <v>10</v>
      </c>
      <c r="I26" s="198" t="s">
        <v>4</v>
      </c>
      <c r="J26" s="199"/>
      <c r="K26" s="200"/>
      <c r="N26" s="221"/>
      <c r="O26" s="221"/>
      <c r="P26" s="221"/>
      <c r="Q26" s="221"/>
      <c r="R26" s="221"/>
      <c r="S26" s="221"/>
      <c r="T26" s="221"/>
      <c r="U26" s="221"/>
    </row>
    <row r="27" spans="1:28" ht="14.25" customHeight="1" x14ac:dyDescent="0.2">
      <c r="A27" s="4"/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183"/>
      <c r="H27" s="183"/>
      <c r="I27" s="5" t="s">
        <v>11</v>
      </c>
      <c r="J27" s="5" t="s">
        <v>12</v>
      </c>
      <c r="K27" s="5" t="s">
        <v>13</v>
      </c>
      <c r="N27" s="221"/>
      <c r="O27" s="221"/>
      <c r="P27" s="221"/>
      <c r="Q27" s="221"/>
      <c r="R27" s="221"/>
      <c r="S27" s="221"/>
      <c r="T27" s="221"/>
      <c r="U27" s="221"/>
    </row>
    <row r="28" spans="1:28" ht="17.25" customHeight="1" x14ac:dyDescent="0.2">
      <c r="A28" s="6" t="s">
        <v>14</v>
      </c>
      <c r="B28" s="7">
        <v>14</v>
      </c>
      <c r="C28" s="7">
        <v>14</v>
      </c>
      <c r="D28" s="26">
        <v>3</v>
      </c>
      <c r="E28" s="26">
        <v>3</v>
      </c>
      <c r="F28" s="26">
        <v>2</v>
      </c>
      <c r="G28" s="26">
        <v>0</v>
      </c>
      <c r="H28" s="43" t="s">
        <v>112</v>
      </c>
      <c r="I28" s="26">
        <v>3</v>
      </c>
      <c r="J28" s="26">
        <v>1</v>
      </c>
      <c r="K28" s="26">
        <v>12</v>
      </c>
      <c r="N28" s="221"/>
      <c r="O28" s="221"/>
      <c r="P28" s="221"/>
      <c r="Q28" s="221"/>
      <c r="R28" s="221"/>
      <c r="S28" s="221"/>
      <c r="T28" s="221"/>
      <c r="U28" s="221"/>
      <c r="V28" s="230" t="str">
        <f>IF(SUM(B28:K28)=52,"Corect","Suma trebuie să fie 52")</f>
        <v>Corect</v>
      </c>
      <c r="W28" s="230"/>
    </row>
    <row r="29" spans="1:28" ht="15" customHeight="1" x14ac:dyDescent="0.2">
      <c r="A29" s="6" t="s">
        <v>15</v>
      </c>
      <c r="B29" s="7">
        <v>14</v>
      </c>
      <c r="C29" s="7">
        <v>12</v>
      </c>
      <c r="D29" s="26">
        <v>3</v>
      </c>
      <c r="E29" s="26">
        <v>3</v>
      </c>
      <c r="F29" s="26">
        <v>2</v>
      </c>
      <c r="G29" s="26">
        <v>2</v>
      </c>
      <c r="H29" s="26">
        <v>2</v>
      </c>
      <c r="I29" s="26">
        <v>3</v>
      </c>
      <c r="J29" s="26">
        <v>1</v>
      </c>
      <c r="K29" s="26">
        <v>10</v>
      </c>
      <c r="N29" s="221"/>
      <c r="O29" s="221"/>
      <c r="P29" s="221"/>
      <c r="Q29" s="221"/>
      <c r="R29" s="221"/>
      <c r="S29" s="221"/>
      <c r="T29" s="221"/>
      <c r="U29" s="221"/>
      <c r="V29" s="230" t="str">
        <f>IF(SUM(B29:K29)=52,"Corect","Suma trebuie să fie 52")</f>
        <v>Corect</v>
      </c>
      <c r="W29" s="230"/>
    </row>
    <row r="30" spans="1:28" ht="15.75" customHeight="1" x14ac:dyDescent="0.2">
      <c r="A30" s="37"/>
      <c r="B30" s="35"/>
      <c r="C30" s="35"/>
      <c r="D30" s="35"/>
      <c r="E30" s="35"/>
      <c r="F30" s="35"/>
      <c r="G30" s="35"/>
      <c r="H30" s="35"/>
      <c r="I30" s="35"/>
      <c r="J30" s="35"/>
      <c r="K30" s="38"/>
      <c r="N30" s="221"/>
      <c r="O30" s="221"/>
      <c r="P30" s="221"/>
      <c r="Q30" s="221"/>
      <c r="R30" s="221"/>
      <c r="S30" s="221"/>
      <c r="T30" s="221"/>
      <c r="U30" s="221"/>
    </row>
    <row r="31" spans="1:28" ht="21" customHeight="1" x14ac:dyDescent="0.2">
      <c r="A31" s="36"/>
      <c r="B31" s="36"/>
      <c r="C31" s="36"/>
      <c r="D31" s="36"/>
      <c r="E31" s="36"/>
      <c r="F31" s="36"/>
      <c r="G31" s="36"/>
      <c r="N31" s="221"/>
      <c r="O31" s="221"/>
      <c r="P31" s="221"/>
      <c r="Q31" s="221"/>
      <c r="R31" s="221"/>
      <c r="S31" s="221"/>
      <c r="T31" s="221"/>
      <c r="U31" s="221"/>
    </row>
    <row r="32" spans="1:28" ht="15" customHeight="1" x14ac:dyDescent="0.2">
      <c r="B32" s="2"/>
      <c r="C32" s="2"/>
      <c r="D32" s="2"/>
      <c r="E32" s="2"/>
      <c r="F32" s="2"/>
      <c r="G32" s="2"/>
      <c r="N32" s="8"/>
      <c r="O32" s="8"/>
      <c r="P32" s="8"/>
      <c r="Q32" s="8"/>
      <c r="R32" s="8"/>
      <c r="S32" s="8"/>
      <c r="T32" s="8"/>
    </row>
    <row r="33" spans="1:24" x14ac:dyDescent="0.2">
      <c r="B33" s="8"/>
      <c r="C33" s="8"/>
      <c r="D33" s="8"/>
      <c r="E33" s="8"/>
      <c r="F33" s="8"/>
      <c r="G33" s="8"/>
      <c r="N33" s="8"/>
      <c r="O33" s="8"/>
      <c r="P33" s="8"/>
      <c r="Q33" s="8"/>
      <c r="R33" s="8"/>
      <c r="S33" s="8"/>
      <c r="T33" s="8"/>
    </row>
    <row r="35" spans="1:24" ht="20.25" customHeight="1" x14ac:dyDescent="0.2">
      <c r="A35" s="191" t="s">
        <v>21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</row>
    <row r="36" spans="1:24" ht="20.25" hidden="1" customHeight="1" x14ac:dyDescent="0.2">
      <c r="O36" s="9"/>
      <c r="P36" s="10" t="s">
        <v>36</v>
      </c>
      <c r="Q36" s="10" t="s">
        <v>37</v>
      </c>
      <c r="R36" s="10" t="s">
        <v>38</v>
      </c>
      <c r="S36" s="10" t="s">
        <v>99</v>
      </c>
      <c r="T36" s="10" t="s">
        <v>100</v>
      </c>
      <c r="U36" s="10"/>
    </row>
    <row r="37" spans="1:24" ht="20.25" customHeight="1" x14ac:dyDescent="0.2">
      <c r="A37" s="130" t="s">
        <v>41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</row>
    <row r="38" spans="1:24" ht="27.75" customHeight="1" x14ac:dyDescent="0.2">
      <c r="A38" s="204" t="s">
        <v>27</v>
      </c>
      <c r="B38" s="171" t="s">
        <v>26</v>
      </c>
      <c r="C38" s="172"/>
      <c r="D38" s="172"/>
      <c r="E38" s="172"/>
      <c r="F38" s="172"/>
      <c r="G38" s="172"/>
      <c r="H38" s="172"/>
      <c r="I38" s="173"/>
      <c r="J38" s="182" t="s">
        <v>39</v>
      </c>
      <c r="K38" s="185" t="s">
        <v>24</v>
      </c>
      <c r="L38" s="186"/>
      <c r="M38" s="186"/>
      <c r="N38" s="187"/>
      <c r="O38" s="185" t="s">
        <v>40</v>
      </c>
      <c r="P38" s="201"/>
      <c r="Q38" s="202"/>
      <c r="R38" s="185" t="s">
        <v>23</v>
      </c>
      <c r="S38" s="186"/>
      <c r="T38" s="187"/>
      <c r="U38" s="203" t="s">
        <v>22</v>
      </c>
    </row>
    <row r="39" spans="1:24" ht="20.25" customHeight="1" x14ac:dyDescent="0.2">
      <c r="A39" s="205"/>
      <c r="B39" s="174"/>
      <c r="C39" s="175"/>
      <c r="D39" s="175"/>
      <c r="E39" s="175"/>
      <c r="F39" s="175"/>
      <c r="G39" s="175"/>
      <c r="H39" s="175"/>
      <c r="I39" s="176"/>
      <c r="J39" s="183"/>
      <c r="K39" s="5" t="s">
        <v>28</v>
      </c>
      <c r="L39" s="5" t="s">
        <v>29</v>
      </c>
      <c r="M39" s="58" t="s">
        <v>103</v>
      </c>
      <c r="N39" s="5" t="s">
        <v>104</v>
      </c>
      <c r="O39" s="5" t="s">
        <v>33</v>
      </c>
      <c r="P39" s="5" t="s">
        <v>7</v>
      </c>
      <c r="Q39" s="5" t="s">
        <v>30</v>
      </c>
      <c r="R39" s="5" t="s">
        <v>31</v>
      </c>
      <c r="S39" s="5" t="s">
        <v>28</v>
      </c>
      <c r="T39" s="5" t="s">
        <v>32</v>
      </c>
      <c r="U39" s="183"/>
    </row>
    <row r="40" spans="1:24" ht="20.25" customHeight="1" x14ac:dyDescent="0.2">
      <c r="A40" s="42" t="s">
        <v>113</v>
      </c>
      <c r="B40" s="210" t="s">
        <v>114</v>
      </c>
      <c r="C40" s="211"/>
      <c r="D40" s="211"/>
      <c r="E40" s="211"/>
      <c r="F40" s="211"/>
      <c r="G40" s="211"/>
      <c r="H40" s="211"/>
      <c r="I40" s="212"/>
      <c r="J40" s="11">
        <v>8</v>
      </c>
      <c r="K40" s="11">
        <v>2</v>
      </c>
      <c r="L40" s="11">
        <v>1</v>
      </c>
      <c r="M40" s="11">
        <v>0</v>
      </c>
      <c r="N40" s="11">
        <v>1</v>
      </c>
      <c r="O40" s="19">
        <f>K40+L40+N40+M40</f>
        <v>4</v>
      </c>
      <c r="P40" s="20">
        <f>Q40-O40</f>
        <v>10</v>
      </c>
      <c r="Q40" s="20">
        <f t="shared" ref="Q40:Q43" si="0">ROUND(PRODUCT(J40,25)/14,0)</f>
        <v>14</v>
      </c>
      <c r="R40" s="25" t="s">
        <v>31</v>
      </c>
      <c r="S40" s="11"/>
      <c r="T40" s="26"/>
      <c r="U40" s="11" t="s">
        <v>38</v>
      </c>
    </row>
    <row r="41" spans="1:24" ht="20.25" customHeight="1" x14ac:dyDescent="0.2">
      <c r="A41" s="31" t="s">
        <v>115</v>
      </c>
      <c r="B41" s="210" t="s">
        <v>116</v>
      </c>
      <c r="C41" s="211"/>
      <c r="D41" s="211"/>
      <c r="E41" s="211"/>
      <c r="F41" s="211"/>
      <c r="G41" s="211"/>
      <c r="H41" s="211"/>
      <c r="I41" s="212"/>
      <c r="J41" s="11">
        <v>7</v>
      </c>
      <c r="K41" s="11">
        <v>2</v>
      </c>
      <c r="L41" s="11">
        <v>1</v>
      </c>
      <c r="M41" s="11">
        <v>0</v>
      </c>
      <c r="N41" s="11">
        <v>1</v>
      </c>
      <c r="O41" s="62">
        <f t="shared" ref="O41:O43" si="1">K41+L41+N41+M41</f>
        <v>4</v>
      </c>
      <c r="P41" s="20">
        <f t="shared" ref="P41:P43" si="2">Q41-O41</f>
        <v>9</v>
      </c>
      <c r="Q41" s="20">
        <f t="shared" si="0"/>
        <v>13</v>
      </c>
      <c r="R41" s="25"/>
      <c r="S41" s="11" t="s">
        <v>28</v>
      </c>
      <c r="T41" s="26"/>
      <c r="U41" s="11" t="s">
        <v>38</v>
      </c>
    </row>
    <row r="42" spans="1:24" ht="20.25" customHeight="1" x14ac:dyDescent="0.2">
      <c r="A42" s="31" t="s">
        <v>117</v>
      </c>
      <c r="B42" s="210" t="s">
        <v>118</v>
      </c>
      <c r="C42" s="211"/>
      <c r="D42" s="211"/>
      <c r="E42" s="211"/>
      <c r="F42" s="211"/>
      <c r="G42" s="211"/>
      <c r="H42" s="211"/>
      <c r="I42" s="212"/>
      <c r="J42" s="11">
        <v>8</v>
      </c>
      <c r="K42" s="11">
        <v>2</v>
      </c>
      <c r="L42" s="11">
        <v>1</v>
      </c>
      <c r="M42" s="11">
        <v>0</v>
      </c>
      <c r="N42" s="11">
        <v>1</v>
      </c>
      <c r="O42" s="62">
        <f t="shared" si="1"/>
        <v>4</v>
      </c>
      <c r="P42" s="20">
        <f t="shared" si="2"/>
        <v>10</v>
      </c>
      <c r="Q42" s="20">
        <f t="shared" si="0"/>
        <v>14</v>
      </c>
      <c r="R42" s="25" t="s">
        <v>31</v>
      </c>
      <c r="S42" s="11"/>
      <c r="T42" s="26"/>
      <c r="U42" s="11" t="s">
        <v>38</v>
      </c>
    </row>
    <row r="43" spans="1:24" ht="20.25" customHeight="1" x14ac:dyDescent="0.2">
      <c r="A43" s="31" t="s">
        <v>119</v>
      </c>
      <c r="B43" s="210" t="s">
        <v>120</v>
      </c>
      <c r="C43" s="211"/>
      <c r="D43" s="211"/>
      <c r="E43" s="211"/>
      <c r="F43" s="211"/>
      <c r="G43" s="211"/>
      <c r="H43" s="211"/>
      <c r="I43" s="212"/>
      <c r="J43" s="11">
        <v>7</v>
      </c>
      <c r="K43" s="11">
        <v>2</v>
      </c>
      <c r="L43" s="11">
        <v>0</v>
      </c>
      <c r="M43" s="11">
        <v>2</v>
      </c>
      <c r="N43" s="11">
        <v>1</v>
      </c>
      <c r="O43" s="62">
        <f t="shared" si="1"/>
        <v>5</v>
      </c>
      <c r="P43" s="20">
        <f t="shared" si="2"/>
        <v>8</v>
      </c>
      <c r="Q43" s="20">
        <f t="shared" si="0"/>
        <v>13</v>
      </c>
      <c r="R43" s="25"/>
      <c r="S43" s="11" t="s">
        <v>28</v>
      </c>
      <c r="T43" s="26"/>
      <c r="U43" s="11" t="s">
        <v>36</v>
      </c>
    </row>
    <row r="44" spans="1:24" x14ac:dyDescent="0.2">
      <c r="A44" s="22" t="s">
        <v>25</v>
      </c>
      <c r="B44" s="78"/>
      <c r="C44" s="79"/>
      <c r="D44" s="79"/>
      <c r="E44" s="79"/>
      <c r="F44" s="79"/>
      <c r="G44" s="79"/>
      <c r="H44" s="79"/>
      <c r="I44" s="80"/>
      <c r="J44" s="22">
        <f t="shared" ref="J44:Q44" si="3">SUM(J40:J43)</f>
        <v>30</v>
      </c>
      <c r="K44" s="22">
        <f t="shared" si="3"/>
        <v>8</v>
      </c>
      <c r="L44" s="22">
        <f t="shared" si="3"/>
        <v>3</v>
      </c>
      <c r="M44" s="60">
        <f t="shared" si="3"/>
        <v>2</v>
      </c>
      <c r="N44" s="22">
        <f t="shared" si="3"/>
        <v>4</v>
      </c>
      <c r="O44" s="22">
        <f t="shared" si="3"/>
        <v>17</v>
      </c>
      <c r="P44" s="22">
        <f t="shared" si="3"/>
        <v>37</v>
      </c>
      <c r="Q44" s="22">
        <f t="shared" si="3"/>
        <v>54</v>
      </c>
      <c r="R44" s="22">
        <f>COUNTIF(R40:R43,"E")</f>
        <v>2</v>
      </c>
      <c r="S44" s="22">
        <f>COUNTIF(S40:S43,"C")</f>
        <v>2</v>
      </c>
      <c r="T44" s="22">
        <f>COUNTIF(T40:T43,"VP")</f>
        <v>0</v>
      </c>
      <c r="U44" s="57">
        <f>COUNTA(U40:U43)</f>
        <v>4</v>
      </c>
      <c r="V44" s="231" t="str">
        <f>IF(R44&gt;=SUM(S44:T44),"Corect","E trebuie să fie cel puțin egal cu C+VP")</f>
        <v>Corect</v>
      </c>
      <c r="W44" s="232"/>
      <c r="X44" s="232"/>
    </row>
    <row r="45" spans="1:24" s="63" customFormat="1" x14ac:dyDescent="0.2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5"/>
      <c r="V45" s="66"/>
    </row>
    <row r="46" spans="1:24" s="63" customFormat="1" x14ac:dyDescent="0.2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5"/>
      <c r="V46" s="66"/>
    </row>
    <row r="47" spans="1:24" ht="19.5" customHeight="1" x14ac:dyDescent="0.2"/>
    <row r="48" spans="1:24" ht="16.5" customHeight="1" x14ac:dyDescent="0.2">
      <c r="A48" s="130" t="s">
        <v>42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</row>
    <row r="49" spans="1:24" ht="26.25" customHeight="1" x14ac:dyDescent="0.2">
      <c r="A49" s="204" t="s">
        <v>27</v>
      </c>
      <c r="B49" s="171" t="s">
        <v>26</v>
      </c>
      <c r="C49" s="172"/>
      <c r="D49" s="172"/>
      <c r="E49" s="172"/>
      <c r="F49" s="172"/>
      <c r="G49" s="172"/>
      <c r="H49" s="172"/>
      <c r="I49" s="173"/>
      <c r="J49" s="182" t="s">
        <v>39</v>
      </c>
      <c r="K49" s="185" t="s">
        <v>24</v>
      </c>
      <c r="L49" s="186"/>
      <c r="M49" s="186"/>
      <c r="N49" s="187"/>
      <c r="O49" s="185" t="s">
        <v>40</v>
      </c>
      <c r="P49" s="201"/>
      <c r="Q49" s="202"/>
      <c r="R49" s="185" t="s">
        <v>23</v>
      </c>
      <c r="S49" s="186"/>
      <c r="T49" s="187"/>
      <c r="U49" s="203" t="s">
        <v>22</v>
      </c>
    </row>
    <row r="50" spans="1:24" ht="12.75" customHeight="1" x14ac:dyDescent="0.2">
      <c r="A50" s="205"/>
      <c r="B50" s="174"/>
      <c r="C50" s="175"/>
      <c r="D50" s="175"/>
      <c r="E50" s="175"/>
      <c r="F50" s="175"/>
      <c r="G50" s="175"/>
      <c r="H50" s="175"/>
      <c r="I50" s="176"/>
      <c r="J50" s="183"/>
      <c r="K50" s="5" t="s">
        <v>28</v>
      </c>
      <c r="L50" s="5" t="s">
        <v>29</v>
      </c>
      <c r="M50" s="58" t="s">
        <v>103</v>
      </c>
      <c r="N50" s="5" t="s">
        <v>104</v>
      </c>
      <c r="O50" s="5" t="s">
        <v>33</v>
      </c>
      <c r="P50" s="5" t="s">
        <v>7</v>
      </c>
      <c r="Q50" s="5" t="s">
        <v>30</v>
      </c>
      <c r="R50" s="5" t="s">
        <v>31</v>
      </c>
      <c r="S50" s="5" t="s">
        <v>28</v>
      </c>
      <c r="T50" s="5" t="s">
        <v>32</v>
      </c>
      <c r="U50" s="183"/>
    </row>
    <row r="51" spans="1:24" x14ac:dyDescent="0.2">
      <c r="A51" s="42" t="s">
        <v>121</v>
      </c>
      <c r="B51" s="210" t="s">
        <v>122</v>
      </c>
      <c r="C51" s="211"/>
      <c r="D51" s="211"/>
      <c r="E51" s="211"/>
      <c r="F51" s="211"/>
      <c r="G51" s="211"/>
      <c r="H51" s="211"/>
      <c r="I51" s="212"/>
      <c r="J51" s="11">
        <v>7</v>
      </c>
      <c r="K51" s="11">
        <v>2</v>
      </c>
      <c r="L51" s="11">
        <v>1</v>
      </c>
      <c r="M51" s="11">
        <v>0</v>
      </c>
      <c r="N51" s="11">
        <v>1</v>
      </c>
      <c r="O51" s="19">
        <f>K51+L51+N51+M51</f>
        <v>4</v>
      </c>
      <c r="P51" s="20">
        <f>Q51-O51</f>
        <v>9</v>
      </c>
      <c r="Q51" s="20">
        <f t="shared" ref="Q51:Q54" si="4">ROUND(PRODUCT(J51,25)/14,0)</f>
        <v>13</v>
      </c>
      <c r="R51" s="25" t="s">
        <v>31</v>
      </c>
      <c r="S51" s="11"/>
      <c r="T51" s="26"/>
      <c r="U51" s="11" t="s">
        <v>36</v>
      </c>
    </row>
    <row r="52" spans="1:24" x14ac:dyDescent="0.2">
      <c r="A52" s="31" t="s">
        <v>123</v>
      </c>
      <c r="B52" s="210" t="s">
        <v>124</v>
      </c>
      <c r="C52" s="211"/>
      <c r="D52" s="211"/>
      <c r="E52" s="211"/>
      <c r="F52" s="211"/>
      <c r="G52" s="211"/>
      <c r="H52" s="211"/>
      <c r="I52" s="212"/>
      <c r="J52" s="11">
        <v>7</v>
      </c>
      <c r="K52" s="11">
        <v>2</v>
      </c>
      <c r="L52" s="11">
        <v>1</v>
      </c>
      <c r="M52" s="11">
        <v>0</v>
      </c>
      <c r="N52" s="11">
        <v>1</v>
      </c>
      <c r="O52" s="62">
        <f t="shared" ref="O52:O54" si="5">K52+L52+N52+M52</f>
        <v>4</v>
      </c>
      <c r="P52" s="20">
        <f t="shared" ref="P52:P54" si="6">Q52-O52</f>
        <v>9</v>
      </c>
      <c r="Q52" s="20">
        <f t="shared" si="4"/>
        <v>13</v>
      </c>
      <c r="R52" s="25" t="s">
        <v>31</v>
      </c>
      <c r="S52" s="11"/>
      <c r="T52" s="26"/>
      <c r="U52" s="11" t="s">
        <v>36</v>
      </c>
    </row>
    <row r="53" spans="1:24" ht="25.5" customHeight="1" x14ac:dyDescent="0.2">
      <c r="A53" s="31" t="s">
        <v>125</v>
      </c>
      <c r="B53" s="213" t="s">
        <v>126</v>
      </c>
      <c r="C53" s="214"/>
      <c r="D53" s="214"/>
      <c r="E53" s="214"/>
      <c r="F53" s="214"/>
      <c r="G53" s="214"/>
      <c r="H53" s="214"/>
      <c r="I53" s="215"/>
      <c r="J53" s="11">
        <v>9</v>
      </c>
      <c r="K53" s="11">
        <v>2</v>
      </c>
      <c r="L53" s="11">
        <v>1</v>
      </c>
      <c r="M53" s="11">
        <v>1</v>
      </c>
      <c r="N53" s="11">
        <v>1</v>
      </c>
      <c r="O53" s="62">
        <f t="shared" si="5"/>
        <v>5</v>
      </c>
      <c r="P53" s="20">
        <f t="shared" si="6"/>
        <v>11</v>
      </c>
      <c r="Q53" s="20">
        <f t="shared" si="4"/>
        <v>16</v>
      </c>
      <c r="R53" s="25"/>
      <c r="S53" s="11"/>
      <c r="T53" s="26" t="s">
        <v>32</v>
      </c>
      <c r="U53" s="11" t="s">
        <v>36</v>
      </c>
    </row>
    <row r="54" spans="1:24" ht="26.25" customHeight="1" x14ac:dyDescent="0.2">
      <c r="A54" s="31" t="s">
        <v>127</v>
      </c>
      <c r="B54" s="213" t="s">
        <v>128</v>
      </c>
      <c r="C54" s="214"/>
      <c r="D54" s="214"/>
      <c r="E54" s="214"/>
      <c r="F54" s="214"/>
      <c r="G54" s="214"/>
      <c r="H54" s="214"/>
      <c r="I54" s="215"/>
      <c r="J54" s="11">
        <v>7</v>
      </c>
      <c r="K54" s="11">
        <v>1</v>
      </c>
      <c r="L54" s="11">
        <v>0</v>
      </c>
      <c r="M54" s="11">
        <v>2</v>
      </c>
      <c r="N54" s="11">
        <v>1</v>
      </c>
      <c r="O54" s="62">
        <f t="shared" si="5"/>
        <v>4</v>
      </c>
      <c r="P54" s="20">
        <f t="shared" si="6"/>
        <v>9</v>
      </c>
      <c r="Q54" s="20">
        <f t="shared" si="4"/>
        <v>13</v>
      </c>
      <c r="R54" s="25"/>
      <c r="S54" s="11" t="s">
        <v>28</v>
      </c>
      <c r="T54" s="26"/>
      <c r="U54" s="11" t="s">
        <v>36</v>
      </c>
    </row>
    <row r="55" spans="1:24" x14ac:dyDescent="0.2">
      <c r="A55" s="22" t="s">
        <v>25</v>
      </c>
      <c r="B55" s="78"/>
      <c r="C55" s="79"/>
      <c r="D55" s="79"/>
      <c r="E55" s="79"/>
      <c r="F55" s="79"/>
      <c r="G55" s="79"/>
      <c r="H55" s="79"/>
      <c r="I55" s="80"/>
      <c r="J55" s="22">
        <f t="shared" ref="J55:Q55" si="7">SUM(J51:J54)</f>
        <v>30</v>
      </c>
      <c r="K55" s="22">
        <f t="shared" si="7"/>
        <v>7</v>
      </c>
      <c r="L55" s="22">
        <f t="shared" si="7"/>
        <v>3</v>
      </c>
      <c r="M55" s="60">
        <f t="shared" si="7"/>
        <v>3</v>
      </c>
      <c r="N55" s="22">
        <f t="shared" si="7"/>
        <v>4</v>
      </c>
      <c r="O55" s="22">
        <f t="shared" si="7"/>
        <v>17</v>
      </c>
      <c r="P55" s="22">
        <f t="shared" si="7"/>
        <v>38</v>
      </c>
      <c r="Q55" s="22">
        <f t="shared" si="7"/>
        <v>55</v>
      </c>
      <c r="R55" s="22">
        <f>COUNTIF(R51:R54,"E")</f>
        <v>2</v>
      </c>
      <c r="S55" s="22">
        <f>COUNTIF(S51:S54,"C")</f>
        <v>1</v>
      </c>
      <c r="T55" s="22">
        <f>COUNTIF(T51:T54,"VP")</f>
        <v>1</v>
      </c>
      <c r="U55" s="57">
        <f>COUNTA(U51:U54)</f>
        <v>4</v>
      </c>
      <c r="V55" s="231" t="str">
        <f>IF(R55&gt;=SUM(S55:T55),"Corect","E trebuie să fie cel puțin egal cu C+VP")</f>
        <v>Corect</v>
      </c>
      <c r="W55" s="232"/>
      <c r="X55" s="232"/>
    </row>
    <row r="56" spans="1:24" ht="11.25" customHeight="1" x14ac:dyDescent="0.2"/>
    <row r="57" spans="1:24" s="63" customFormat="1" ht="11.25" customHeight="1" x14ac:dyDescent="0.2"/>
    <row r="58" spans="1:24" s="63" customFormat="1" ht="11.25" customHeight="1" x14ac:dyDescent="0.2"/>
    <row r="59" spans="1:24" s="63" customFormat="1" ht="11.25" customHeight="1" x14ac:dyDescent="0.2"/>
    <row r="60" spans="1:24" s="63" customFormat="1" ht="11.25" customHeight="1" x14ac:dyDescent="0.2"/>
    <row r="61" spans="1:24" x14ac:dyDescent="0.2">
      <c r="B61" s="8"/>
      <c r="C61" s="8"/>
      <c r="D61" s="8"/>
      <c r="E61" s="8"/>
      <c r="F61" s="8"/>
      <c r="G61" s="8"/>
      <c r="N61" s="8"/>
      <c r="O61" s="8"/>
      <c r="P61" s="8"/>
      <c r="Q61" s="8"/>
      <c r="R61" s="8"/>
      <c r="S61" s="8"/>
      <c r="T61" s="8"/>
    </row>
    <row r="63" spans="1:24" ht="18" customHeight="1" x14ac:dyDescent="0.2">
      <c r="A63" s="130" t="s">
        <v>43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</row>
    <row r="64" spans="1:24" ht="25.5" customHeight="1" x14ac:dyDescent="0.2">
      <c r="A64" s="204" t="s">
        <v>27</v>
      </c>
      <c r="B64" s="171" t="s">
        <v>26</v>
      </c>
      <c r="C64" s="172"/>
      <c r="D64" s="172"/>
      <c r="E64" s="172"/>
      <c r="F64" s="172"/>
      <c r="G64" s="172"/>
      <c r="H64" s="172"/>
      <c r="I64" s="173"/>
      <c r="J64" s="182" t="s">
        <v>39</v>
      </c>
      <c r="K64" s="185" t="s">
        <v>24</v>
      </c>
      <c r="L64" s="186"/>
      <c r="M64" s="186"/>
      <c r="N64" s="187"/>
      <c r="O64" s="185" t="s">
        <v>40</v>
      </c>
      <c r="P64" s="201"/>
      <c r="Q64" s="202"/>
      <c r="R64" s="185" t="s">
        <v>23</v>
      </c>
      <c r="S64" s="186"/>
      <c r="T64" s="187"/>
      <c r="U64" s="203" t="s">
        <v>22</v>
      </c>
    </row>
    <row r="65" spans="1:24" ht="16.5" customHeight="1" x14ac:dyDescent="0.2">
      <c r="A65" s="205"/>
      <c r="B65" s="174"/>
      <c r="C65" s="175"/>
      <c r="D65" s="175"/>
      <c r="E65" s="175"/>
      <c r="F65" s="175"/>
      <c r="G65" s="175"/>
      <c r="H65" s="175"/>
      <c r="I65" s="176"/>
      <c r="J65" s="183"/>
      <c r="K65" s="5" t="s">
        <v>28</v>
      </c>
      <c r="L65" s="5" t="s">
        <v>29</v>
      </c>
      <c r="M65" s="58" t="s">
        <v>103</v>
      </c>
      <c r="N65" s="5" t="s">
        <v>104</v>
      </c>
      <c r="O65" s="5" t="s">
        <v>33</v>
      </c>
      <c r="P65" s="5" t="s">
        <v>7</v>
      </c>
      <c r="Q65" s="5" t="s">
        <v>30</v>
      </c>
      <c r="R65" s="5" t="s">
        <v>31</v>
      </c>
      <c r="S65" s="5" t="s">
        <v>28</v>
      </c>
      <c r="T65" s="5" t="s">
        <v>32</v>
      </c>
      <c r="U65" s="183"/>
    </row>
    <row r="66" spans="1:24" x14ac:dyDescent="0.2">
      <c r="A66" s="42" t="s">
        <v>129</v>
      </c>
      <c r="B66" s="210" t="s">
        <v>130</v>
      </c>
      <c r="C66" s="211"/>
      <c r="D66" s="211"/>
      <c r="E66" s="211"/>
      <c r="F66" s="211"/>
      <c r="G66" s="211"/>
      <c r="H66" s="211"/>
      <c r="I66" s="212"/>
      <c r="J66" s="11">
        <v>8</v>
      </c>
      <c r="K66" s="11">
        <v>2</v>
      </c>
      <c r="L66" s="11">
        <v>1</v>
      </c>
      <c r="M66" s="11">
        <v>1</v>
      </c>
      <c r="N66" s="11">
        <v>1</v>
      </c>
      <c r="O66" s="19">
        <f>K66+L66+N66+M66</f>
        <v>5</v>
      </c>
      <c r="P66" s="20">
        <f>Q66-O66</f>
        <v>9</v>
      </c>
      <c r="Q66" s="20">
        <f t="shared" ref="Q66:Q69" si="8">ROUND(PRODUCT(J66,25)/14,0)</f>
        <v>14</v>
      </c>
      <c r="R66" s="25" t="s">
        <v>31</v>
      </c>
      <c r="S66" s="11"/>
      <c r="T66" s="26"/>
      <c r="U66" s="11" t="s">
        <v>36</v>
      </c>
    </row>
    <row r="67" spans="1:24" x14ac:dyDescent="0.2">
      <c r="A67" s="31" t="s">
        <v>132</v>
      </c>
      <c r="B67" s="210" t="s">
        <v>131</v>
      </c>
      <c r="C67" s="211"/>
      <c r="D67" s="211"/>
      <c r="E67" s="211"/>
      <c r="F67" s="211"/>
      <c r="G67" s="211"/>
      <c r="H67" s="211"/>
      <c r="I67" s="212"/>
      <c r="J67" s="11">
        <v>8</v>
      </c>
      <c r="K67" s="11">
        <v>2</v>
      </c>
      <c r="L67" s="11">
        <v>1</v>
      </c>
      <c r="M67" s="11">
        <v>0</v>
      </c>
      <c r="N67" s="11">
        <v>1</v>
      </c>
      <c r="O67" s="62">
        <f t="shared" ref="O67:O69" si="9">K67+L67+N67+M67</f>
        <v>4</v>
      </c>
      <c r="P67" s="20">
        <f t="shared" ref="P67:P69" si="10">Q67-O67</f>
        <v>10</v>
      </c>
      <c r="Q67" s="20">
        <f t="shared" si="8"/>
        <v>14</v>
      </c>
      <c r="R67" s="25" t="s">
        <v>31</v>
      </c>
      <c r="S67" s="11"/>
      <c r="T67" s="26"/>
      <c r="U67" s="11" t="s">
        <v>36</v>
      </c>
    </row>
    <row r="68" spans="1:24" x14ac:dyDescent="0.2">
      <c r="A68" s="31" t="s">
        <v>133</v>
      </c>
      <c r="B68" s="210" t="s">
        <v>134</v>
      </c>
      <c r="C68" s="211"/>
      <c r="D68" s="211"/>
      <c r="E68" s="211"/>
      <c r="F68" s="211"/>
      <c r="G68" s="211"/>
      <c r="H68" s="211"/>
      <c r="I68" s="212"/>
      <c r="J68" s="11">
        <v>6</v>
      </c>
      <c r="K68" s="11">
        <v>2</v>
      </c>
      <c r="L68" s="11">
        <v>1</v>
      </c>
      <c r="M68" s="11">
        <v>0</v>
      </c>
      <c r="N68" s="11">
        <v>0</v>
      </c>
      <c r="O68" s="62">
        <f t="shared" si="9"/>
        <v>3</v>
      </c>
      <c r="P68" s="20">
        <f t="shared" si="10"/>
        <v>8</v>
      </c>
      <c r="Q68" s="20">
        <f t="shared" si="8"/>
        <v>11</v>
      </c>
      <c r="R68" s="25"/>
      <c r="S68" s="11" t="s">
        <v>28</v>
      </c>
      <c r="T68" s="26"/>
      <c r="U68" s="11" t="s">
        <v>36</v>
      </c>
    </row>
    <row r="69" spans="1:24" x14ac:dyDescent="0.2">
      <c r="A69" s="31" t="s">
        <v>135</v>
      </c>
      <c r="B69" s="210" t="s">
        <v>136</v>
      </c>
      <c r="C69" s="211"/>
      <c r="D69" s="211"/>
      <c r="E69" s="211"/>
      <c r="F69" s="211"/>
      <c r="G69" s="211"/>
      <c r="H69" s="211"/>
      <c r="I69" s="212"/>
      <c r="J69" s="11">
        <v>8</v>
      </c>
      <c r="K69" s="11">
        <v>2</v>
      </c>
      <c r="L69" s="11">
        <v>0</v>
      </c>
      <c r="M69" s="11">
        <v>1</v>
      </c>
      <c r="N69" s="11">
        <v>1</v>
      </c>
      <c r="O69" s="62">
        <f t="shared" si="9"/>
        <v>4</v>
      </c>
      <c r="P69" s="20">
        <f t="shared" si="10"/>
        <v>10</v>
      </c>
      <c r="Q69" s="20">
        <f t="shared" si="8"/>
        <v>14</v>
      </c>
      <c r="R69" s="25"/>
      <c r="S69" s="11" t="s">
        <v>28</v>
      </c>
      <c r="T69" s="26"/>
      <c r="U69" s="11" t="s">
        <v>36</v>
      </c>
    </row>
    <row r="70" spans="1:24" x14ac:dyDescent="0.2">
      <c r="A70" s="22" t="s">
        <v>25</v>
      </c>
      <c r="B70" s="78"/>
      <c r="C70" s="79"/>
      <c r="D70" s="79"/>
      <c r="E70" s="79"/>
      <c r="F70" s="79"/>
      <c r="G70" s="79"/>
      <c r="H70" s="79"/>
      <c r="I70" s="80"/>
      <c r="J70" s="22">
        <f t="shared" ref="J70:Q70" si="11">SUM(J66:J69)</f>
        <v>30</v>
      </c>
      <c r="K70" s="22">
        <f t="shared" si="11"/>
        <v>8</v>
      </c>
      <c r="L70" s="22">
        <f t="shared" si="11"/>
        <v>3</v>
      </c>
      <c r="M70" s="60">
        <f t="shared" si="11"/>
        <v>2</v>
      </c>
      <c r="N70" s="22">
        <f t="shared" si="11"/>
        <v>3</v>
      </c>
      <c r="O70" s="22">
        <f t="shared" si="11"/>
        <v>16</v>
      </c>
      <c r="P70" s="22">
        <f t="shared" si="11"/>
        <v>37</v>
      </c>
      <c r="Q70" s="22">
        <f t="shared" si="11"/>
        <v>53</v>
      </c>
      <c r="R70" s="22">
        <f>COUNTIF(R66:R69,"E")</f>
        <v>2</v>
      </c>
      <c r="S70" s="22">
        <f>COUNTIF(S66:S69,"C")</f>
        <v>2</v>
      </c>
      <c r="T70" s="22">
        <f>COUNTIF(T66:T69,"VP")</f>
        <v>0</v>
      </c>
      <c r="U70" s="57">
        <f>COUNTA(U66:U69)</f>
        <v>4</v>
      </c>
      <c r="V70" s="231" t="str">
        <f>IF(R70&gt;=SUM(S70:T70),"Corect","E trebuie să fie cel puțin egal cu C+VP")</f>
        <v>Corect</v>
      </c>
      <c r="W70" s="232"/>
      <c r="X70" s="232"/>
    </row>
    <row r="71" spans="1:24" ht="21.75" customHeight="1" x14ac:dyDescent="0.2"/>
    <row r="72" spans="1:24" ht="18.75" customHeight="1" x14ac:dyDescent="0.2">
      <c r="A72" s="130" t="s">
        <v>44</v>
      </c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</row>
    <row r="73" spans="1:24" ht="24.75" customHeight="1" x14ac:dyDescent="0.2">
      <c r="A73" s="204" t="s">
        <v>27</v>
      </c>
      <c r="B73" s="171" t="s">
        <v>26</v>
      </c>
      <c r="C73" s="172"/>
      <c r="D73" s="172"/>
      <c r="E73" s="172"/>
      <c r="F73" s="172"/>
      <c r="G73" s="172"/>
      <c r="H73" s="172"/>
      <c r="I73" s="173"/>
      <c r="J73" s="182" t="s">
        <v>39</v>
      </c>
      <c r="K73" s="185" t="s">
        <v>24</v>
      </c>
      <c r="L73" s="186"/>
      <c r="M73" s="186"/>
      <c r="N73" s="187"/>
      <c r="O73" s="185" t="s">
        <v>40</v>
      </c>
      <c r="P73" s="201"/>
      <c r="Q73" s="202"/>
      <c r="R73" s="185" t="s">
        <v>23</v>
      </c>
      <c r="S73" s="186"/>
      <c r="T73" s="187"/>
      <c r="U73" s="203" t="s">
        <v>22</v>
      </c>
      <c r="V73" s="1">
        <f>162*14+63*12</f>
        <v>3024</v>
      </c>
    </row>
    <row r="74" spans="1:24" x14ac:dyDescent="0.2">
      <c r="A74" s="205"/>
      <c r="B74" s="174"/>
      <c r="C74" s="175"/>
      <c r="D74" s="175"/>
      <c r="E74" s="175"/>
      <c r="F74" s="175"/>
      <c r="G74" s="175"/>
      <c r="H74" s="175"/>
      <c r="I74" s="176"/>
      <c r="J74" s="183"/>
      <c r="K74" s="5" t="s">
        <v>28</v>
      </c>
      <c r="L74" s="5" t="s">
        <v>29</v>
      </c>
      <c r="M74" s="58" t="s">
        <v>103</v>
      </c>
      <c r="N74" s="5" t="s">
        <v>104</v>
      </c>
      <c r="O74" s="5" t="s">
        <v>33</v>
      </c>
      <c r="P74" s="5" t="s">
        <v>7</v>
      </c>
      <c r="Q74" s="5" t="s">
        <v>30</v>
      </c>
      <c r="R74" s="5" t="s">
        <v>31</v>
      </c>
      <c r="S74" s="5" t="s">
        <v>28</v>
      </c>
      <c r="T74" s="5" t="s">
        <v>32</v>
      </c>
      <c r="U74" s="183"/>
    </row>
    <row r="75" spans="1:24" x14ac:dyDescent="0.2">
      <c r="A75" s="56" t="s">
        <v>137</v>
      </c>
      <c r="B75" s="210" t="s">
        <v>138</v>
      </c>
      <c r="C75" s="211"/>
      <c r="D75" s="211"/>
      <c r="E75" s="211"/>
      <c r="F75" s="211"/>
      <c r="G75" s="211"/>
      <c r="H75" s="211"/>
      <c r="I75" s="212"/>
      <c r="J75" s="11">
        <v>8</v>
      </c>
      <c r="K75" s="11">
        <v>2</v>
      </c>
      <c r="L75" s="11">
        <v>1</v>
      </c>
      <c r="M75" s="11">
        <v>0</v>
      </c>
      <c r="N75" s="11">
        <v>1</v>
      </c>
      <c r="O75" s="55">
        <f>K75+L75+N75+M75</f>
        <v>4</v>
      </c>
      <c r="P75" s="20">
        <f>Q75-O75</f>
        <v>13</v>
      </c>
      <c r="Q75" s="20">
        <f t="shared" ref="Q75:Q79" si="12">ROUND(PRODUCT(J75,25)/12,0)</f>
        <v>17</v>
      </c>
      <c r="R75" s="25" t="s">
        <v>31</v>
      </c>
      <c r="S75" s="11"/>
      <c r="T75" s="26"/>
      <c r="U75" s="11" t="s">
        <v>37</v>
      </c>
    </row>
    <row r="76" spans="1:24" x14ac:dyDescent="0.2">
      <c r="A76" s="31" t="s">
        <v>139</v>
      </c>
      <c r="B76" s="210" t="s">
        <v>140</v>
      </c>
      <c r="C76" s="211"/>
      <c r="D76" s="211"/>
      <c r="E76" s="211"/>
      <c r="F76" s="211"/>
      <c r="G76" s="211"/>
      <c r="H76" s="211"/>
      <c r="I76" s="212"/>
      <c r="J76" s="11">
        <v>8</v>
      </c>
      <c r="K76" s="11">
        <v>2</v>
      </c>
      <c r="L76" s="11">
        <v>1</v>
      </c>
      <c r="M76" s="11">
        <v>0</v>
      </c>
      <c r="N76" s="11">
        <v>1</v>
      </c>
      <c r="O76" s="62">
        <f t="shared" ref="O76:O79" si="13">K76+L76+N76+M76</f>
        <v>4</v>
      </c>
      <c r="P76" s="20">
        <f t="shared" ref="P76:P79" si="14">Q76-O76</f>
        <v>13</v>
      </c>
      <c r="Q76" s="20">
        <f t="shared" si="12"/>
        <v>17</v>
      </c>
      <c r="R76" s="25" t="s">
        <v>31</v>
      </c>
      <c r="S76" s="11"/>
      <c r="T76" s="26"/>
      <c r="U76" s="11" t="s">
        <v>37</v>
      </c>
    </row>
    <row r="77" spans="1:24" x14ac:dyDescent="0.2">
      <c r="A77" s="31" t="s">
        <v>141</v>
      </c>
      <c r="B77" s="210" t="s">
        <v>142</v>
      </c>
      <c r="C77" s="211"/>
      <c r="D77" s="211"/>
      <c r="E77" s="211"/>
      <c r="F77" s="211"/>
      <c r="G77" s="211"/>
      <c r="H77" s="211"/>
      <c r="I77" s="212"/>
      <c r="J77" s="11">
        <v>5</v>
      </c>
      <c r="K77" s="11">
        <v>0</v>
      </c>
      <c r="L77" s="11">
        <v>0</v>
      </c>
      <c r="M77" s="11">
        <v>1</v>
      </c>
      <c r="N77" s="11">
        <v>2</v>
      </c>
      <c r="O77" s="62">
        <f t="shared" si="13"/>
        <v>3</v>
      </c>
      <c r="P77" s="20">
        <f t="shared" si="14"/>
        <v>7</v>
      </c>
      <c r="Q77" s="20">
        <f t="shared" si="12"/>
        <v>10</v>
      </c>
      <c r="R77" s="25" t="s">
        <v>31</v>
      </c>
      <c r="S77" s="11"/>
      <c r="T77" s="26"/>
      <c r="U77" s="11" t="s">
        <v>37</v>
      </c>
    </row>
    <row r="78" spans="1:24" x14ac:dyDescent="0.2">
      <c r="A78" s="31" t="s">
        <v>143</v>
      </c>
      <c r="B78" s="210" t="s">
        <v>144</v>
      </c>
      <c r="C78" s="211"/>
      <c r="D78" s="211"/>
      <c r="E78" s="211"/>
      <c r="F78" s="211"/>
      <c r="G78" s="211"/>
      <c r="H78" s="211"/>
      <c r="I78" s="212"/>
      <c r="J78" s="11">
        <v>6</v>
      </c>
      <c r="K78" s="11">
        <v>0</v>
      </c>
      <c r="L78" s="11">
        <v>0</v>
      </c>
      <c r="M78" s="11">
        <v>0</v>
      </c>
      <c r="N78" s="11">
        <v>4</v>
      </c>
      <c r="O78" s="62">
        <f t="shared" si="13"/>
        <v>4</v>
      </c>
      <c r="P78" s="20">
        <f t="shared" si="14"/>
        <v>9</v>
      </c>
      <c r="Q78" s="20">
        <f t="shared" si="12"/>
        <v>13</v>
      </c>
      <c r="R78" s="25"/>
      <c r="S78" s="11" t="s">
        <v>28</v>
      </c>
      <c r="T78" s="26"/>
      <c r="U78" s="11" t="s">
        <v>37</v>
      </c>
    </row>
    <row r="79" spans="1:24" x14ac:dyDescent="0.2">
      <c r="A79" s="31" t="s">
        <v>145</v>
      </c>
      <c r="B79" s="210" t="s">
        <v>146</v>
      </c>
      <c r="C79" s="211"/>
      <c r="D79" s="211"/>
      <c r="E79" s="211"/>
      <c r="F79" s="211"/>
      <c r="G79" s="211"/>
      <c r="H79" s="211"/>
      <c r="I79" s="212"/>
      <c r="J79" s="11">
        <v>3</v>
      </c>
      <c r="K79" s="11">
        <v>0</v>
      </c>
      <c r="L79" s="11">
        <v>0</v>
      </c>
      <c r="M79" s="11">
        <v>1</v>
      </c>
      <c r="N79" s="11">
        <v>4</v>
      </c>
      <c r="O79" s="62">
        <f t="shared" si="13"/>
        <v>5</v>
      </c>
      <c r="P79" s="20">
        <f t="shared" si="14"/>
        <v>1</v>
      </c>
      <c r="Q79" s="20">
        <f t="shared" si="12"/>
        <v>6</v>
      </c>
      <c r="R79" s="25"/>
      <c r="S79" s="11" t="s">
        <v>28</v>
      </c>
      <c r="T79" s="26"/>
      <c r="U79" s="11" t="s">
        <v>38</v>
      </c>
    </row>
    <row r="80" spans="1:24" x14ac:dyDescent="0.2">
      <c r="A80" s="22" t="s">
        <v>25</v>
      </c>
      <c r="B80" s="78"/>
      <c r="C80" s="79"/>
      <c r="D80" s="79"/>
      <c r="E80" s="79"/>
      <c r="F80" s="79"/>
      <c r="G80" s="79"/>
      <c r="H80" s="79"/>
      <c r="I80" s="80"/>
      <c r="J80" s="22">
        <f t="shared" ref="J80:Q80" si="15">SUM(J75:J79)</f>
        <v>30</v>
      </c>
      <c r="K80" s="22">
        <f t="shared" si="15"/>
        <v>4</v>
      </c>
      <c r="L80" s="22">
        <f t="shared" si="15"/>
        <v>2</v>
      </c>
      <c r="M80" s="60">
        <f t="shared" si="15"/>
        <v>2</v>
      </c>
      <c r="N80" s="22">
        <f t="shared" si="15"/>
        <v>12</v>
      </c>
      <c r="O80" s="22">
        <f t="shared" si="15"/>
        <v>20</v>
      </c>
      <c r="P80" s="22">
        <f t="shared" si="15"/>
        <v>43</v>
      </c>
      <c r="Q80" s="22">
        <f t="shared" si="15"/>
        <v>63</v>
      </c>
      <c r="R80" s="22">
        <f>COUNTIF(R75:R79,"E")</f>
        <v>3</v>
      </c>
      <c r="S80" s="22">
        <f>COUNTIF(S75:S79,"C")</f>
        <v>2</v>
      </c>
      <c r="T80" s="22">
        <f>COUNTIF(T75:T79,"VP")</f>
        <v>0</v>
      </c>
      <c r="U80" s="57">
        <f>COUNTA(U75:U79)</f>
        <v>5</v>
      </c>
      <c r="V80" s="231" t="str">
        <f>IF(R80&gt;=SUM(S80:T80),"Corect","E trebuie să fie cel puțin egal cu C+VP")</f>
        <v>Corect</v>
      </c>
      <c r="W80" s="232"/>
      <c r="X80" s="232"/>
    </row>
    <row r="81" spans="1:21" ht="9" customHeight="1" x14ac:dyDescent="0.2"/>
    <row r="83" spans="1:21" ht="19.5" customHeight="1" x14ac:dyDescent="0.2">
      <c r="A83" s="192" t="s">
        <v>45</v>
      </c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</row>
    <row r="84" spans="1:21" ht="27.75" customHeight="1" x14ac:dyDescent="0.2">
      <c r="A84" s="204" t="s">
        <v>27</v>
      </c>
      <c r="B84" s="171" t="s">
        <v>26</v>
      </c>
      <c r="C84" s="172"/>
      <c r="D84" s="172"/>
      <c r="E84" s="172"/>
      <c r="F84" s="172"/>
      <c r="G84" s="172"/>
      <c r="H84" s="172"/>
      <c r="I84" s="173"/>
      <c r="J84" s="182" t="s">
        <v>39</v>
      </c>
      <c r="K84" s="131" t="s">
        <v>24</v>
      </c>
      <c r="L84" s="131"/>
      <c r="M84" s="131"/>
      <c r="N84" s="131"/>
      <c r="O84" s="131" t="s">
        <v>40</v>
      </c>
      <c r="P84" s="132"/>
      <c r="Q84" s="132"/>
      <c r="R84" s="131" t="s">
        <v>23</v>
      </c>
      <c r="S84" s="131"/>
      <c r="T84" s="131"/>
      <c r="U84" s="131" t="s">
        <v>22</v>
      </c>
    </row>
    <row r="85" spans="1:21" ht="12.75" customHeight="1" x14ac:dyDescent="0.2">
      <c r="A85" s="205"/>
      <c r="B85" s="174"/>
      <c r="C85" s="175"/>
      <c r="D85" s="175"/>
      <c r="E85" s="175"/>
      <c r="F85" s="175"/>
      <c r="G85" s="175"/>
      <c r="H85" s="175"/>
      <c r="I85" s="176"/>
      <c r="J85" s="183"/>
      <c r="K85" s="5" t="s">
        <v>28</v>
      </c>
      <c r="L85" s="5" t="s">
        <v>29</v>
      </c>
      <c r="M85" s="58" t="s">
        <v>103</v>
      </c>
      <c r="N85" s="5" t="s">
        <v>104</v>
      </c>
      <c r="O85" s="5" t="s">
        <v>33</v>
      </c>
      <c r="P85" s="5" t="s">
        <v>7</v>
      </c>
      <c r="Q85" s="5" t="s">
        <v>30</v>
      </c>
      <c r="R85" s="5" t="s">
        <v>31</v>
      </c>
      <c r="S85" s="5" t="s">
        <v>28</v>
      </c>
      <c r="T85" s="5" t="s">
        <v>32</v>
      </c>
      <c r="U85" s="131"/>
    </row>
    <row r="86" spans="1:21" x14ac:dyDescent="0.2">
      <c r="A86" s="109" t="s">
        <v>155</v>
      </c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1"/>
    </row>
    <row r="87" spans="1:21" x14ac:dyDescent="0.2">
      <c r="A87" s="32" t="s">
        <v>147</v>
      </c>
      <c r="B87" s="177" t="s">
        <v>148</v>
      </c>
      <c r="C87" s="178"/>
      <c r="D87" s="178"/>
      <c r="E87" s="178"/>
      <c r="F87" s="178"/>
      <c r="G87" s="178"/>
      <c r="H87" s="178"/>
      <c r="I87" s="179"/>
      <c r="J87" s="27">
        <v>8</v>
      </c>
      <c r="K87" s="27">
        <v>2</v>
      </c>
      <c r="L87" s="27">
        <v>1</v>
      </c>
      <c r="M87" s="27">
        <v>0</v>
      </c>
      <c r="N87" s="27">
        <v>1</v>
      </c>
      <c r="O87" s="20">
        <f>K87+L87+N87+M87</f>
        <v>4</v>
      </c>
      <c r="P87" s="20">
        <f t="shared" ref="P87" si="16">Q87-O87</f>
        <v>13</v>
      </c>
      <c r="Q87" s="20">
        <f t="shared" ref="Q87:Q88" si="17">ROUND(PRODUCT(J87,25)/12,0)</f>
        <v>17</v>
      </c>
      <c r="R87" s="27" t="s">
        <v>31</v>
      </c>
      <c r="S87" s="27"/>
      <c r="T87" s="28"/>
      <c r="U87" s="11" t="s">
        <v>37</v>
      </c>
    </row>
    <row r="88" spans="1:21" x14ac:dyDescent="0.2">
      <c r="A88" s="34" t="s">
        <v>149</v>
      </c>
      <c r="B88" s="177" t="s">
        <v>150</v>
      </c>
      <c r="C88" s="178"/>
      <c r="D88" s="178"/>
      <c r="E88" s="178"/>
      <c r="F88" s="178"/>
      <c r="G88" s="178"/>
      <c r="H88" s="178"/>
      <c r="I88" s="179"/>
      <c r="J88" s="27">
        <v>8</v>
      </c>
      <c r="K88" s="27">
        <v>2</v>
      </c>
      <c r="L88" s="27">
        <v>1</v>
      </c>
      <c r="M88" s="27">
        <v>0</v>
      </c>
      <c r="N88" s="27">
        <v>1</v>
      </c>
      <c r="O88" s="20">
        <f t="shared" ref="O88" si="18">K88+L88+N88+M88</f>
        <v>4</v>
      </c>
      <c r="P88" s="20">
        <f t="shared" ref="P88" si="19">Q88-O88</f>
        <v>13</v>
      </c>
      <c r="Q88" s="20">
        <f t="shared" si="17"/>
        <v>17</v>
      </c>
      <c r="R88" s="27" t="s">
        <v>31</v>
      </c>
      <c r="S88" s="27"/>
      <c r="T88" s="28"/>
      <c r="U88" s="11" t="s">
        <v>37</v>
      </c>
    </row>
    <row r="89" spans="1:21" x14ac:dyDescent="0.2">
      <c r="A89" s="109" t="s">
        <v>156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1"/>
    </row>
    <row r="90" spans="1:21" x14ac:dyDescent="0.2">
      <c r="A90" s="32" t="s">
        <v>151</v>
      </c>
      <c r="B90" s="170" t="s">
        <v>152</v>
      </c>
      <c r="C90" s="170"/>
      <c r="D90" s="170"/>
      <c r="E90" s="170"/>
      <c r="F90" s="170"/>
      <c r="G90" s="170"/>
      <c r="H90" s="170"/>
      <c r="I90" s="170"/>
      <c r="J90" s="27">
        <v>8</v>
      </c>
      <c r="K90" s="27">
        <v>2</v>
      </c>
      <c r="L90" s="27">
        <v>1</v>
      </c>
      <c r="M90" s="27">
        <v>0</v>
      </c>
      <c r="N90" s="27">
        <v>1</v>
      </c>
      <c r="O90" s="20">
        <f>K90+L90+N90+M90</f>
        <v>4</v>
      </c>
      <c r="P90" s="20">
        <f t="shared" ref="P90:P91" si="20">Q90-O90</f>
        <v>13</v>
      </c>
      <c r="Q90" s="20">
        <f t="shared" ref="Q90:Q91" si="21">ROUND(PRODUCT(J90,25)/12,0)</f>
        <v>17</v>
      </c>
      <c r="R90" s="27" t="s">
        <v>31</v>
      </c>
      <c r="S90" s="27"/>
      <c r="T90" s="28"/>
      <c r="U90" s="11" t="s">
        <v>37</v>
      </c>
    </row>
    <row r="91" spans="1:21" x14ac:dyDescent="0.2">
      <c r="A91" s="34" t="s">
        <v>153</v>
      </c>
      <c r="B91" s="170" t="s">
        <v>154</v>
      </c>
      <c r="C91" s="170"/>
      <c r="D91" s="170"/>
      <c r="E91" s="170"/>
      <c r="F91" s="170"/>
      <c r="G91" s="170"/>
      <c r="H91" s="170"/>
      <c r="I91" s="170"/>
      <c r="J91" s="27">
        <v>8</v>
      </c>
      <c r="K91" s="27">
        <v>2</v>
      </c>
      <c r="L91" s="27">
        <v>1</v>
      </c>
      <c r="M91" s="27">
        <v>0</v>
      </c>
      <c r="N91" s="27">
        <v>1</v>
      </c>
      <c r="O91" s="20">
        <f t="shared" ref="O91" si="22">K91+L91+N91+M91</f>
        <v>4</v>
      </c>
      <c r="P91" s="20">
        <f t="shared" si="20"/>
        <v>13</v>
      </c>
      <c r="Q91" s="20">
        <f t="shared" si="21"/>
        <v>17</v>
      </c>
      <c r="R91" s="27" t="s">
        <v>31</v>
      </c>
      <c r="S91" s="27"/>
      <c r="T91" s="28"/>
      <c r="U91" s="11" t="s">
        <v>37</v>
      </c>
    </row>
    <row r="92" spans="1:21" ht="24.75" customHeight="1" x14ac:dyDescent="0.2">
      <c r="A92" s="156" t="s">
        <v>72</v>
      </c>
      <c r="B92" s="157"/>
      <c r="C92" s="157"/>
      <c r="D92" s="157"/>
      <c r="E92" s="157"/>
      <c r="F92" s="157"/>
      <c r="G92" s="157"/>
      <c r="H92" s="157"/>
      <c r="I92" s="158"/>
      <c r="J92" s="24">
        <f t="shared" ref="J92" si="23">SUM(J87,J90)</f>
        <v>16</v>
      </c>
      <c r="K92" s="24">
        <f>SUM(K87,K90)</f>
        <v>4</v>
      </c>
      <c r="L92" s="24">
        <f t="shared" ref="L92:Q92" si="24">SUM(L87,L90)</f>
        <v>2</v>
      </c>
      <c r="M92" s="24">
        <f t="shared" si="24"/>
        <v>0</v>
      </c>
      <c r="N92" s="24">
        <f t="shared" si="24"/>
        <v>2</v>
      </c>
      <c r="O92" s="24">
        <f t="shared" si="24"/>
        <v>8</v>
      </c>
      <c r="P92" s="24">
        <f t="shared" si="24"/>
        <v>26</v>
      </c>
      <c r="Q92" s="24">
        <f t="shared" si="24"/>
        <v>34</v>
      </c>
      <c r="R92" s="24">
        <f>COUNTIF(R87,"E")+COUNTIF(R90,"E")</f>
        <v>2</v>
      </c>
      <c r="S92" s="24">
        <f>COUNTIF(S87,"C")+COUNTIF(S90,"C")</f>
        <v>0</v>
      </c>
      <c r="T92" s="24">
        <f>COUNTIF(T87,"VP")+COUNTIF(T90,"VP")</f>
        <v>0</v>
      </c>
      <c r="U92" s="67">
        <v>0.1176</v>
      </c>
    </row>
    <row r="93" spans="1:21" ht="13.5" customHeight="1" x14ac:dyDescent="0.2">
      <c r="A93" s="142" t="s">
        <v>47</v>
      </c>
      <c r="B93" s="143"/>
      <c r="C93" s="143"/>
      <c r="D93" s="143"/>
      <c r="E93" s="143"/>
      <c r="F93" s="143"/>
      <c r="G93" s="143"/>
      <c r="H93" s="143"/>
      <c r="I93" s="143"/>
      <c r="J93" s="144"/>
      <c r="K93" s="24">
        <f>(K87+K90)*12</f>
        <v>48</v>
      </c>
      <c r="L93" s="24">
        <f t="shared" ref="L93:Q93" si="25">(L87+L90)*12</f>
        <v>24</v>
      </c>
      <c r="M93" s="24">
        <f t="shared" si="25"/>
        <v>0</v>
      </c>
      <c r="N93" s="24">
        <f t="shared" si="25"/>
        <v>24</v>
      </c>
      <c r="O93" s="24">
        <f t="shared" si="25"/>
        <v>96</v>
      </c>
      <c r="P93" s="24">
        <f t="shared" si="25"/>
        <v>312</v>
      </c>
      <c r="Q93" s="24">
        <f t="shared" si="25"/>
        <v>408</v>
      </c>
      <c r="R93" s="148"/>
      <c r="S93" s="149"/>
      <c r="T93" s="149"/>
      <c r="U93" s="150"/>
    </row>
    <row r="94" spans="1:21" x14ac:dyDescent="0.2">
      <c r="A94" s="145"/>
      <c r="B94" s="146"/>
      <c r="C94" s="146"/>
      <c r="D94" s="146"/>
      <c r="E94" s="146"/>
      <c r="F94" s="146"/>
      <c r="G94" s="146"/>
      <c r="H94" s="146"/>
      <c r="I94" s="146"/>
      <c r="J94" s="147"/>
      <c r="K94" s="159">
        <f>SUM(K93:N93)</f>
        <v>96</v>
      </c>
      <c r="L94" s="160"/>
      <c r="M94" s="160"/>
      <c r="N94" s="161"/>
      <c r="O94" s="162">
        <f>SUM(O93:P93)</f>
        <v>408</v>
      </c>
      <c r="P94" s="163"/>
      <c r="Q94" s="164"/>
      <c r="R94" s="151"/>
      <c r="S94" s="152"/>
      <c r="T94" s="152"/>
      <c r="U94" s="153"/>
    </row>
    <row r="95" spans="1:21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3"/>
      <c r="L95" s="13"/>
      <c r="M95" s="13"/>
      <c r="N95" s="13"/>
      <c r="O95" s="14"/>
      <c r="P95" s="14"/>
      <c r="Q95" s="14"/>
      <c r="R95" s="15"/>
      <c r="S95" s="15"/>
      <c r="T95" s="15"/>
      <c r="U95" s="15"/>
    </row>
    <row r="96" spans="1:21" s="68" customFormat="1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3"/>
      <c r="L96" s="13"/>
      <c r="M96" s="13"/>
      <c r="N96" s="13"/>
      <c r="O96" s="14"/>
      <c r="P96" s="14"/>
      <c r="Q96" s="14"/>
      <c r="R96" s="15"/>
      <c r="S96" s="15"/>
      <c r="T96" s="15"/>
      <c r="U96" s="15"/>
    </row>
    <row r="97" spans="1:21" s="68" customFormat="1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3"/>
      <c r="L97" s="13"/>
      <c r="M97" s="13"/>
      <c r="N97" s="13"/>
      <c r="O97" s="14"/>
      <c r="P97" s="14"/>
      <c r="Q97" s="14"/>
      <c r="R97" s="15"/>
      <c r="S97" s="15"/>
      <c r="T97" s="15"/>
      <c r="U97" s="15"/>
    </row>
    <row r="98" spans="1:21" s="68" customFormat="1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3"/>
      <c r="L98" s="13"/>
      <c r="M98" s="13"/>
      <c r="N98" s="13"/>
      <c r="O98" s="14"/>
      <c r="P98" s="14"/>
      <c r="Q98" s="14"/>
      <c r="R98" s="15"/>
      <c r="S98" s="15"/>
      <c r="T98" s="15"/>
      <c r="U98" s="15"/>
    </row>
    <row r="99" spans="1:21" ht="15" customHeight="1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3"/>
      <c r="L99" s="13"/>
      <c r="M99" s="13"/>
      <c r="N99" s="13"/>
      <c r="O99" s="16"/>
      <c r="P99" s="16"/>
      <c r="Q99" s="16"/>
      <c r="R99" s="16"/>
      <c r="S99" s="16"/>
      <c r="T99" s="16"/>
      <c r="U99" s="16"/>
    </row>
    <row r="100" spans="1:21" ht="24" customHeight="1" x14ac:dyDescent="0.2">
      <c r="A100" s="175" t="s">
        <v>48</v>
      </c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</row>
    <row r="101" spans="1:21" ht="16.5" customHeight="1" x14ac:dyDescent="0.2">
      <c r="A101" s="78" t="s">
        <v>49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80"/>
    </row>
    <row r="102" spans="1:21" ht="34.5" customHeight="1" x14ac:dyDescent="0.2">
      <c r="A102" s="154" t="s">
        <v>27</v>
      </c>
      <c r="B102" s="154" t="s">
        <v>26</v>
      </c>
      <c r="C102" s="154"/>
      <c r="D102" s="154"/>
      <c r="E102" s="154"/>
      <c r="F102" s="154"/>
      <c r="G102" s="154"/>
      <c r="H102" s="154"/>
      <c r="I102" s="154"/>
      <c r="J102" s="77" t="s">
        <v>39</v>
      </c>
      <c r="K102" s="77" t="s">
        <v>24</v>
      </c>
      <c r="L102" s="77"/>
      <c r="M102" s="77"/>
      <c r="N102" s="77"/>
      <c r="O102" s="77" t="s">
        <v>40</v>
      </c>
      <c r="P102" s="77"/>
      <c r="Q102" s="77"/>
      <c r="R102" s="77" t="s">
        <v>23</v>
      </c>
      <c r="S102" s="77"/>
      <c r="T102" s="77"/>
      <c r="U102" s="77" t="s">
        <v>22</v>
      </c>
    </row>
    <row r="103" spans="1:21" x14ac:dyDescent="0.2">
      <c r="A103" s="154"/>
      <c r="B103" s="154"/>
      <c r="C103" s="154"/>
      <c r="D103" s="154"/>
      <c r="E103" s="154"/>
      <c r="F103" s="154"/>
      <c r="G103" s="154"/>
      <c r="H103" s="154"/>
      <c r="I103" s="154"/>
      <c r="J103" s="77"/>
      <c r="K103" s="30" t="s">
        <v>28</v>
      </c>
      <c r="L103" s="30" t="s">
        <v>29</v>
      </c>
      <c r="M103" s="61" t="s">
        <v>103</v>
      </c>
      <c r="N103" s="30" t="s">
        <v>104</v>
      </c>
      <c r="O103" s="30" t="s">
        <v>33</v>
      </c>
      <c r="P103" s="30" t="s">
        <v>7</v>
      </c>
      <c r="Q103" s="30" t="s">
        <v>30</v>
      </c>
      <c r="R103" s="30" t="s">
        <v>31</v>
      </c>
      <c r="S103" s="30" t="s">
        <v>28</v>
      </c>
      <c r="T103" s="30" t="s">
        <v>32</v>
      </c>
      <c r="U103" s="77"/>
    </row>
    <row r="104" spans="1:21" ht="17.25" customHeight="1" x14ac:dyDescent="0.2">
      <c r="A104" s="78" t="s">
        <v>61</v>
      </c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80"/>
    </row>
    <row r="105" spans="1:21" x14ac:dyDescent="0.2">
      <c r="A105" s="33" t="str">
        <f t="shared" ref="A105:A113" si="26">IF(ISNA(INDEX($A$37:$U$95,MATCH($B105,$B$37:$B$95,0),1)),"",INDEX($A$37:$U$95,MATCH($B105,$B$37:$B$95,0),1))</f>
        <v>MMR3057</v>
      </c>
      <c r="B105" s="155" t="s">
        <v>120</v>
      </c>
      <c r="C105" s="155"/>
      <c r="D105" s="155"/>
      <c r="E105" s="155"/>
      <c r="F105" s="155"/>
      <c r="G105" s="155"/>
      <c r="H105" s="155"/>
      <c r="I105" s="155"/>
      <c r="J105" s="20">
        <f t="shared" ref="J105:J113" si="27">IF(ISNA(INDEX($A$37:$U$95,MATCH($B105,$B$37:$B$95,0),10)),"",INDEX($A$37:$U$95,MATCH($B105,$B$37:$B$95,0),10))</f>
        <v>7</v>
      </c>
      <c r="K105" s="20">
        <f t="shared" ref="K105:K113" si="28">IF(ISNA(INDEX($A$37:$U$95,MATCH($B105,$B$37:$B$95,0),11)),"",INDEX($A$37:$U$95,MATCH($B105,$B$37:$B$95,0),11))</f>
        <v>2</v>
      </c>
      <c r="L105" s="20">
        <f t="shared" ref="L105:L113" si="29">IF(ISNA(INDEX($A$37:$U$95,MATCH($B105,$B$37:$B$95,0),12)),"",INDEX($A$37:$U$95,MATCH($B105,$B$37:$B$95,0),12))</f>
        <v>0</v>
      </c>
      <c r="M105" s="20">
        <f t="shared" ref="M105:M113" si="30">IF(ISNA(INDEX($A$37:$U$95,MATCH($B105,$B$37:$B$95,0),13)),"",INDEX($A$37:$U$95,MATCH($B105,$B$37:$B$95,0),13))</f>
        <v>2</v>
      </c>
      <c r="N105" s="20">
        <f t="shared" ref="N105:N113" si="31">IF(ISNA(INDEX($A$37:$U$95,MATCH($B105,$B$37:$B$95,0),14)),"",INDEX($A$37:$U$95,MATCH($B105,$B$37:$B$95,0),14))</f>
        <v>1</v>
      </c>
      <c r="O105" s="20">
        <f t="shared" ref="O105:O113" si="32">IF(ISNA(INDEX($A$37:$U$95,MATCH($B105,$B$37:$B$95,0),15)),"",INDEX($A$37:$U$95,MATCH($B105,$B$37:$B$95,0),15))</f>
        <v>5</v>
      </c>
      <c r="P105" s="20">
        <f t="shared" ref="P105:P113" si="33">IF(ISNA(INDEX($A$37:$U$95,MATCH($B105,$B$37:$B$95,0),16)),"",INDEX($A$37:$U$95,MATCH($B105,$B$37:$B$95,0),16))</f>
        <v>8</v>
      </c>
      <c r="Q105" s="20">
        <f t="shared" ref="Q105:Q113" si="34">IF(ISNA(INDEX($A$37:$U$95,MATCH($B105,$B$37:$B$95,0),17)),"",INDEX($A$37:$U$95,MATCH($B105,$B$37:$B$95,0),17))</f>
        <v>13</v>
      </c>
      <c r="R105" s="29">
        <f t="shared" ref="R105:R113" si="35">IF(ISNA(INDEX($A$37:$U$95,MATCH($B105,$B$37:$B$95,0),18)),"",INDEX($A$37:$U$95,MATCH($B105,$B$37:$B$95,0),18))</f>
        <v>0</v>
      </c>
      <c r="S105" s="29" t="str">
        <f t="shared" ref="S105:S113" si="36">IF(ISNA(INDEX($A$37:$U$95,MATCH($B105,$B$37:$B$95,0),19)),"",INDEX($A$37:$U$95,MATCH($B105,$B$37:$B$95,0),19))</f>
        <v>C</v>
      </c>
      <c r="T105" s="29">
        <f t="shared" ref="T105:T113" si="37">IF(ISNA(INDEX($A$37:$U$95,MATCH($B105,$B$37:$B$95,0),20)),"",INDEX($A$37:$U$95,MATCH($B105,$B$37:$B$95,0),20))</f>
        <v>0</v>
      </c>
      <c r="U105" s="21" t="s">
        <v>36</v>
      </c>
    </row>
    <row r="106" spans="1:21" x14ac:dyDescent="0.2">
      <c r="A106" s="33" t="str">
        <f t="shared" si="26"/>
        <v>MMR3047</v>
      </c>
      <c r="B106" s="155" t="s">
        <v>122</v>
      </c>
      <c r="C106" s="155"/>
      <c r="D106" s="155"/>
      <c r="E106" s="155"/>
      <c r="F106" s="155"/>
      <c r="G106" s="155"/>
      <c r="H106" s="155"/>
      <c r="I106" s="155"/>
      <c r="J106" s="20">
        <f t="shared" si="27"/>
        <v>7</v>
      </c>
      <c r="K106" s="20">
        <f t="shared" si="28"/>
        <v>2</v>
      </c>
      <c r="L106" s="20">
        <f t="shared" si="29"/>
        <v>1</v>
      </c>
      <c r="M106" s="20">
        <f t="shared" si="30"/>
        <v>0</v>
      </c>
      <c r="N106" s="20">
        <f t="shared" si="31"/>
        <v>1</v>
      </c>
      <c r="O106" s="20">
        <f t="shared" si="32"/>
        <v>4</v>
      </c>
      <c r="P106" s="20">
        <f t="shared" si="33"/>
        <v>9</v>
      </c>
      <c r="Q106" s="20">
        <f t="shared" si="34"/>
        <v>13</v>
      </c>
      <c r="R106" s="29" t="str">
        <f t="shared" si="35"/>
        <v>E</v>
      </c>
      <c r="S106" s="29">
        <f t="shared" si="36"/>
        <v>0</v>
      </c>
      <c r="T106" s="29">
        <f t="shared" si="37"/>
        <v>0</v>
      </c>
      <c r="U106" s="21" t="s">
        <v>36</v>
      </c>
    </row>
    <row r="107" spans="1:21" x14ac:dyDescent="0.2">
      <c r="A107" s="33" t="str">
        <f t="shared" si="26"/>
        <v>MMR3009</v>
      </c>
      <c r="B107" s="155" t="s">
        <v>124</v>
      </c>
      <c r="C107" s="155"/>
      <c r="D107" s="155"/>
      <c r="E107" s="155"/>
      <c r="F107" s="155"/>
      <c r="G107" s="155"/>
      <c r="H107" s="155"/>
      <c r="I107" s="155"/>
      <c r="J107" s="20">
        <f t="shared" si="27"/>
        <v>7</v>
      </c>
      <c r="K107" s="20">
        <f t="shared" si="28"/>
        <v>2</v>
      </c>
      <c r="L107" s="20">
        <f t="shared" si="29"/>
        <v>1</v>
      </c>
      <c r="M107" s="20">
        <f t="shared" si="30"/>
        <v>0</v>
      </c>
      <c r="N107" s="20">
        <f t="shared" si="31"/>
        <v>1</v>
      </c>
      <c r="O107" s="20">
        <f t="shared" si="32"/>
        <v>4</v>
      </c>
      <c r="P107" s="20">
        <f t="shared" si="33"/>
        <v>9</v>
      </c>
      <c r="Q107" s="20">
        <f t="shared" si="34"/>
        <v>13</v>
      </c>
      <c r="R107" s="29" t="str">
        <f t="shared" si="35"/>
        <v>E</v>
      </c>
      <c r="S107" s="29">
        <f t="shared" si="36"/>
        <v>0</v>
      </c>
      <c r="T107" s="29">
        <f t="shared" si="37"/>
        <v>0</v>
      </c>
      <c r="U107" s="21" t="s">
        <v>36</v>
      </c>
    </row>
    <row r="108" spans="1:21" ht="25.5" customHeight="1" x14ac:dyDescent="0.2">
      <c r="A108" s="33" t="str">
        <f t="shared" si="26"/>
        <v>MMR3022</v>
      </c>
      <c r="B108" s="225" t="s">
        <v>126</v>
      </c>
      <c r="C108" s="225"/>
      <c r="D108" s="225"/>
      <c r="E108" s="225"/>
      <c r="F108" s="225"/>
      <c r="G108" s="225"/>
      <c r="H108" s="225"/>
      <c r="I108" s="225"/>
      <c r="J108" s="20">
        <f t="shared" si="27"/>
        <v>9</v>
      </c>
      <c r="K108" s="20">
        <f t="shared" si="28"/>
        <v>2</v>
      </c>
      <c r="L108" s="20">
        <f t="shared" si="29"/>
        <v>1</v>
      </c>
      <c r="M108" s="20">
        <f t="shared" si="30"/>
        <v>1</v>
      </c>
      <c r="N108" s="20">
        <f t="shared" si="31"/>
        <v>1</v>
      </c>
      <c r="O108" s="20">
        <f t="shared" si="32"/>
        <v>5</v>
      </c>
      <c r="P108" s="20">
        <f t="shared" si="33"/>
        <v>11</v>
      </c>
      <c r="Q108" s="20">
        <f t="shared" si="34"/>
        <v>16</v>
      </c>
      <c r="R108" s="29">
        <f t="shared" si="35"/>
        <v>0</v>
      </c>
      <c r="S108" s="29">
        <f t="shared" si="36"/>
        <v>0</v>
      </c>
      <c r="T108" s="29" t="str">
        <f t="shared" si="37"/>
        <v>VP</v>
      </c>
      <c r="U108" s="21" t="s">
        <v>36</v>
      </c>
    </row>
    <row r="109" spans="1:21" ht="25.5" customHeight="1" x14ac:dyDescent="0.2">
      <c r="A109" s="33" t="str">
        <f t="shared" si="26"/>
        <v>MMR3096</v>
      </c>
      <c r="B109" s="225" t="s">
        <v>128</v>
      </c>
      <c r="C109" s="225"/>
      <c r="D109" s="225"/>
      <c r="E109" s="225"/>
      <c r="F109" s="225"/>
      <c r="G109" s="225"/>
      <c r="H109" s="225"/>
      <c r="I109" s="225"/>
      <c r="J109" s="20">
        <f t="shared" si="27"/>
        <v>7</v>
      </c>
      <c r="K109" s="20">
        <f t="shared" si="28"/>
        <v>1</v>
      </c>
      <c r="L109" s="20">
        <f t="shared" si="29"/>
        <v>0</v>
      </c>
      <c r="M109" s="20">
        <f t="shared" si="30"/>
        <v>2</v>
      </c>
      <c r="N109" s="20">
        <f t="shared" si="31"/>
        <v>1</v>
      </c>
      <c r="O109" s="20">
        <f t="shared" si="32"/>
        <v>4</v>
      </c>
      <c r="P109" s="20">
        <f t="shared" si="33"/>
        <v>9</v>
      </c>
      <c r="Q109" s="20">
        <f t="shared" si="34"/>
        <v>13</v>
      </c>
      <c r="R109" s="29">
        <f t="shared" si="35"/>
        <v>0</v>
      </c>
      <c r="S109" s="29" t="str">
        <f t="shared" si="36"/>
        <v>C</v>
      </c>
      <c r="T109" s="29">
        <f t="shared" si="37"/>
        <v>0</v>
      </c>
      <c r="U109" s="21" t="s">
        <v>36</v>
      </c>
    </row>
    <row r="110" spans="1:21" x14ac:dyDescent="0.2">
      <c r="A110" s="33" t="str">
        <f t="shared" si="26"/>
        <v>MMR3029</v>
      </c>
      <c r="B110" s="155" t="s">
        <v>130</v>
      </c>
      <c r="C110" s="155"/>
      <c r="D110" s="155"/>
      <c r="E110" s="155"/>
      <c r="F110" s="155"/>
      <c r="G110" s="155"/>
      <c r="H110" s="155"/>
      <c r="I110" s="155"/>
      <c r="J110" s="20">
        <f t="shared" si="27"/>
        <v>8</v>
      </c>
      <c r="K110" s="20">
        <f t="shared" si="28"/>
        <v>2</v>
      </c>
      <c r="L110" s="20">
        <f t="shared" si="29"/>
        <v>1</v>
      </c>
      <c r="M110" s="20">
        <f t="shared" si="30"/>
        <v>1</v>
      </c>
      <c r="N110" s="20">
        <f t="shared" si="31"/>
        <v>1</v>
      </c>
      <c r="O110" s="20">
        <f t="shared" si="32"/>
        <v>5</v>
      </c>
      <c r="P110" s="20">
        <f t="shared" si="33"/>
        <v>9</v>
      </c>
      <c r="Q110" s="20">
        <f t="shared" si="34"/>
        <v>14</v>
      </c>
      <c r="R110" s="29" t="str">
        <f t="shared" si="35"/>
        <v>E</v>
      </c>
      <c r="S110" s="29">
        <f t="shared" si="36"/>
        <v>0</v>
      </c>
      <c r="T110" s="29">
        <f t="shared" si="37"/>
        <v>0</v>
      </c>
      <c r="U110" s="21" t="s">
        <v>36</v>
      </c>
    </row>
    <row r="111" spans="1:21" x14ac:dyDescent="0.2">
      <c r="A111" s="33" t="str">
        <f t="shared" si="26"/>
        <v>MMR3035</v>
      </c>
      <c r="B111" s="155" t="s">
        <v>131</v>
      </c>
      <c r="C111" s="155"/>
      <c r="D111" s="155"/>
      <c r="E111" s="155"/>
      <c r="F111" s="155"/>
      <c r="G111" s="155"/>
      <c r="H111" s="155"/>
      <c r="I111" s="155"/>
      <c r="J111" s="20">
        <f t="shared" si="27"/>
        <v>8</v>
      </c>
      <c r="K111" s="20">
        <f t="shared" si="28"/>
        <v>2</v>
      </c>
      <c r="L111" s="20">
        <f t="shared" si="29"/>
        <v>1</v>
      </c>
      <c r="M111" s="20">
        <f t="shared" si="30"/>
        <v>0</v>
      </c>
      <c r="N111" s="20">
        <f t="shared" si="31"/>
        <v>1</v>
      </c>
      <c r="O111" s="20">
        <f t="shared" si="32"/>
        <v>4</v>
      </c>
      <c r="P111" s="20">
        <f t="shared" si="33"/>
        <v>10</v>
      </c>
      <c r="Q111" s="20">
        <f t="shared" si="34"/>
        <v>14</v>
      </c>
      <c r="R111" s="29" t="str">
        <f t="shared" si="35"/>
        <v>E</v>
      </c>
      <c r="S111" s="29">
        <f t="shared" si="36"/>
        <v>0</v>
      </c>
      <c r="T111" s="29">
        <f t="shared" si="37"/>
        <v>0</v>
      </c>
      <c r="U111" s="21" t="s">
        <v>36</v>
      </c>
    </row>
    <row r="112" spans="1:21" x14ac:dyDescent="0.2">
      <c r="A112" s="33" t="str">
        <f t="shared" si="26"/>
        <v>MMR3041</v>
      </c>
      <c r="B112" s="155" t="s">
        <v>134</v>
      </c>
      <c r="C112" s="155"/>
      <c r="D112" s="155"/>
      <c r="E112" s="155"/>
      <c r="F112" s="155"/>
      <c r="G112" s="155"/>
      <c r="H112" s="155"/>
      <c r="I112" s="155"/>
      <c r="J112" s="20">
        <f t="shared" si="27"/>
        <v>6</v>
      </c>
      <c r="K112" s="20">
        <f t="shared" si="28"/>
        <v>2</v>
      </c>
      <c r="L112" s="20">
        <f t="shared" si="29"/>
        <v>1</v>
      </c>
      <c r="M112" s="20">
        <f t="shared" si="30"/>
        <v>0</v>
      </c>
      <c r="N112" s="20">
        <f t="shared" si="31"/>
        <v>0</v>
      </c>
      <c r="O112" s="20">
        <f t="shared" si="32"/>
        <v>3</v>
      </c>
      <c r="P112" s="20">
        <f t="shared" si="33"/>
        <v>8</v>
      </c>
      <c r="Q112" s="20">
        <f t="shared" si="34"/>
        <v>11</v>
      </c>
      <c r="R112" s="29">
        <f t="shared" si="35"/>
        <v>0</v>
      </c>
      <c r="S112" s="29" t="str">
        <f t="shared" si="36"/>
        <v>C</v>
      </c>
      <c r="T112" s="29">
        <f t="shared" si="37"/>
        <v>0</v>
      </c>
      <c r="U112" s="21" t="s">
        <v>36</v>
      </c>
    </row>
    <row r="113" spans="1:21" x14ac:dyDescent="0.2">
      <c r="A113" s="33" t="str">
        <f t="shared" si="26"/>
        <v>MMR3055</v>
      </c>
      <c r="B113" s="155" t="s">
        <v>136</v>
      </c>
      <c r="C113" s="155"/>
      <c r="D113" s="155"/>
      <c r="E113" s="155"/>
      <c r="F113" s="155"/>
      <c r="G113" s="155"/>
      <c r="H113" s="155"/>
      <c r="I113" s="155"/>
      <c r="J113" s="20">
        <f t="shared" si="27"/>
        <v>8</v>
      </c>
      <c r="K113" s="20">
        <f t="shared" si="28"/>
        <v>2</v>
      </c>
      <c r="L113" s="20">
        <f t="shared" si="29"/>
        <v>0</v>
      </c>
      <c r="M113" s="20">
        <f t="shared" si="30"/>
        <v>1</v>
      </c>
      <c r="N113" s="20">
        <f t="shared" si="31"/>
        <v>1</v>
      </c>
      <c r="O113" s="20">
        <f t="shared" si="32"/>
        <v>4</v>
      </c>
      <c r="P113" s="20">
        <f t="shared" si="33"/>
        <v>10</v>
      </c>
      <c r="Q113" s="20">
        <f t="shared" si="34"/>
        <v>14</v>
      </c>
      <c r="R113" s="29">
        <f t="shared" si="35"/>
        <v>0</v>
      </c>
      <c r="S113" s="29" t="str">
        <f t="shared" si="36"/>
        <v>C</v>
      </c>
      <c r="T113" s="29">
        <f t="shared" si="37"/>
        <v>0</v>
      </c>
      <c r="U113" s="21" t="s">
        <v>36</v>
      </c>
    </row>
    <row r="114" spans="1:21" x14ac:dyDescent="0.2">
      <c r="A114" s="22" t="s">
        <v>25</v>
      </c>
      <c r="B114" s="165"/>
      <c r="C114" s="166"/>
      <c r="D114" s="166"/>
      <c r="E114" s="166"/>
      <c r="F114" s="166"/>
      <c r="G114" s="166"/>
      <c r="H114" s="166"/>
      <c r="I114" s="167"/>
      <c r="J114" s="24">
        <f>IF(ISNA(SUM(J105:J113)),"",SUM(J105:J113))</f>
        <v>67</v>
      </c>
      <c r="K114" s="24">
        <f t="shared" ref="K114:Q114" si="38">SUM(K105:K113)</f>
        <v>17</v>
      </c>
      <c r="L114" s="24">
        <f t="shared" si="38"/>
        <v>6</v>
      </c>
      <c r="M114" s="24">
        <f t="shared" si="38"/>
        <v>7</v>
      </c>
      <c r="N114" s="24">
        <f t="shared" si="38"/>
        <v>8</v>
      </c>
      <c r="O114" s="24">
        <f t="shared" si="38"/>
        <v>38</v>
      </c>
      <c r="P114" s="24">
        <f t="shared" si="38"/>
        <v>83</v>
      </c>
      <c r="Q114" s="24">
        <f t="shared" si="38"/>
        <v>121</v>
      </c>
      <c r="R114" s="22">
        <f>COUNTIF(R105:R113,"E")</f>
        <v>4</v>
      </c>
      <c r="S114" s="22">
        <f>COUNTIF(S105:S113,"C")</f>
        <v>4</v>
      </c>
      <c r="T114" s="22">
        <f>COUNTIF(T105:T113,"VP")</f>
        <v>1</v>
      </c>
      <c r="U114" s="21"/>
    </row>
    <row r="115" spans="1:21" ht="17.25" customHeight="1" x14ac:dyDescent="0.2">
      <c r="A115" s="78" t="s">
        <v>62</v>
      </c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80"/>
    </row>
    <row r="116" spans="1:21" x14ac:dyDescent="0.2">
      <c r="A116" s="33" t="str">
        <f>IF(ISNA(INDEX($A$37:$U$95,MATCH($B116,$B$37:$B$95,0),1)),"",INDEX($A$37:$U$95,MATCH($B116,$B$37:$B$95,0),1))</f>
        <v/>
      </c>
      <c r="B116" s="155"/>
      <c r="C116" s="155"/>
      <c r="D116" s="155"/>
      <c r="E116" s="155"/>
      <c r="F116" s="155"/>
      <c r="G116" s="155"/>
      <c r="H116" s="155"/>
      <c r="I116" s="155"/>
      <c r="J116" s="20" t="str">
        <f>IF(ISNA(INDEX($A$37:$U$95,MATCH($B116,$B$37:$B$95,0),10)),"",INDEX($A$37:$U$95,MATCH($B116,$B$37:$B$95,0),10))</f>
        <v/>
      </c>
      <c r="K116" s="20" t="str">
        <f>IF(ISNA(INDEX($A$37:$U$95,MATCH($B116,$B$37:$B$95,0),11)),"",INDEX($A$37:$U$95,MATCH($B116,$B$37:$B$95,0),11))</f>
        <v/>
      </c>
      <c r="L116" s="20" t="str">
        <f>IF(ISNA(INDEX($A$37:$U$95,MATCH($B116,$B$37:$B$95,0),12)),"",INDEX($A$37:$U$95,MATCH($B116,$B$37:$B$95,0),12))</f>
        <v/>
      </c>
      <c r="M116" s="20" t="str">
        <f>IF(ISNA(INDEX($A$37:$U$95,MATCH($B116,$B$37:$B$95,0),13)),"",INDEX($A$37:$U$95,MATCH($B116,$B$37:$B$95,0),13))</f>
        <v/>
      </c>
      <c r="N116" s="20" t="str">
        <f>IF(ISNA(INDEX($A$37:$U$95,MATCH($B116,$B$37:$B$95,0),14)),"",INDEX($A$37:$U$95,MATCH($B116,$B$37:$B$95,0),14))</f>
        <v/>
      </c>
      <c r="O116" s="20" t="str">
        <f>IF(ISNA(INDEX($A$37:$U$95,MATCH($B116,$B$37:$B$95,0),15)),"",INDEX($A$37:$U$95,MATCH($B116,$B$37:$B$95,0),15))</f>
        <v/>
      </c>
      <c r="P116" s="20" t="str">
        <f>IF(ISNA(INDEX($A$37:$U$95,MATCH($B116,$B$37:$B$95,0),16)),"",INDEX($A$37:$U$95,MATCH($B116,$B$37:$B$95,0),16))</f>
        <v/>
      </c>
      <c r="Q116" s="20" t="str">
        <f>IF(ISNA(INDEX($A$37:$U$95,MATCH($B116,$B$37:$B$95,0),17)),"",INDEX($A$37:$U$95,MATCH($B116,$B$37:$B$95,0),17))</f>
        <v/>
      </c>
      <c r="R116" s="29" t="str">
        <f>IF(ISNA(INDEX($A$37:$U$95,MATCH($B116,$B$37:$B$95,0),18)),"",INDEX($A$37:$U$95,MATCH($B116,$B$37:$B$95,0),18))</f>
        <v/>
      </c>
      <c r="S116" s="29" t="str">
        <f>IF(ISNA(INDEX($A$37:$U$95,MATCH($B116,$B$37:$B$95,0),19)),"",INDEX($A$37:$U$95,MATCH($B116,$B$37:$B$95,0),19))</f>
        <v/>
      </c>
      <c r="T116" s="29" t="str">
        <f>IF(ISNA(INDEX($A$37:$U$95,MATCH($B116,$B$37:$B$95,0),20)),"",INDEX($A$37:$U$95,MATCH($B116,$B$37:$B$95,0),20))</f>
        <v/>
      </c>
      <c r="U116" s="21"/>
    </row>
    <row r="117" spans="1:21" x14ac:dyDescent="0.2">
      <c r="A117" s="22" t="s">
        <v>25</v>
      </c>
      <c r="B117" s="154"/>
      <c r="C117" s="154"/>
      <c r="D117" s="154"/>
      <c r="E117" s="154"/>
      <c r="F117" s="154"/>
      <c r="G117" s="154"/>
      <c r="H117" s="154"/>
      <c r="I117" s="154"/>
      <c r="J117" s="24">
        <f t="shared" ref="J117:Q117" si="39">SUM(J116:J116)</f>
        <v>0</v>
      </c>
      <c r="K117" s="24">
        <f t="shared" si="39"/>
        <v>0</v>
      </c>
      <c r="L117" s="24">
        <f t="shared" si="39"/>
        <v>0</v>
      </c>
      <c r="M117" s="24">
        <f t="shared" si="39"/>
        <v>0</v>
      </c>
      <c r="N117" s="24">
        <f t="shared" si="39"/>
        <v>0</v>
      </c>
      <c r="O117" s="24">
        <f t="shared" si="39"/>
        <v>0</v>
      </c>
      <c r="P117" s="24">
        <f t="shared" si="39"/>
        <v>0</v>
      </c>
      <c r="Q117" s="24">
        <f t="shared" si="39"/>
        <v>0</v>
      </c>
      <c r="R117" s="22">
        <f>COUNTIF(R116:R116,"E")</f>
        <v>0</v>
      </c>
      <c r="S117" s="22">
        <f>COUNTIF(S116:S116,"C")</f>
        <v>0</v>
      </c>
      <c r="T117" s="22">
        <f>COUNTIF(T116:T116,"VP")</f>
        <v>0</v>
      </c>
      <c r="U117" s="23"/>
    </row>
    <row r="118" spans="1:21" ht="27" customHeight="1" x14ac:dyDescent="0.2">
      <c r="A118" s="156" t="s">
        <v>72</v>
      </c>
      <c r="B118" s="157"/>
      <c r="C118" s="157"/>
      <c r="D118" s="157"/>
      <c r="E118" s="157"/>
      <c r="F118" s="157"/>
      <c r="G118" s="157"/>
      <c r="H118" s="157"/>
      <c r="I118" s="158"/>
      <c r="J118" s="24">
        <f t="shared" ref="J118:T118" si="40">SUM(J114,J117)</f>
        <v>67</v>
      </c>
      <c r="K118" s="24">
        <f t="shared" si="40"/>
        <v>17</v>
      </c>
      <c r="L118" s="24">
        <f t="shared" si="40"/>
        <v>6</v>
      </c>
      <c r="M118" s="24">
        <f t="shared" si="40"/>
        <v>7</v>
      </c>
      <c r="N118" s="24">
        <f t="shared" si="40"/>
        <v>8</v>
      </c>
      <c r="O118" s="24">
        <f t="shared" si="40"/>
        <v>38</v>
      </c>
      <c r="P118" s="24">
        <f t="shared" si="40"/>
        <v>83</v>
      </c>
      <c r="Q118" s="24">
        <f t="shared" si="40"/>
        <v>121</v>
      </c>
      <c r="R118" s="24">
        <f t="shared" si="40"/>
        <v>4</v>
      </c>
      <c r="S118" s="24">
        <f t="shared" si="40"/>
        <v>4</v>
      </c>
      <c r="T118" s="24">
        <f t="shared" si="40"/>
        <v>1</v>
      </c>
      <c r="U118" s="67">
        <v>0.52939999999999998</v>
      </c>
    </row>
    <row r="119" spans="1:21" x14ac:dyDescent="0.2">
      <c r="A119" s="142" t="s">
        <v>47</v>
      </c>
      <c r="B119" s="143"/>
      <c r="C119" s="143"/>
      <c r="D119" s="143"/>
      <c r="E119" s="143"/>
      <c r="F119" s="143"/>
      <c r="G119" s="143"/>
      <c r="H119" s="143"/>
      <c r="I119" s="143"/>
      <c r="J119" s="144"/>
      <c r="K119" s="24">
        <f>K114*14+K117*12</f>
        <v>238</v>
      </c>
      <c r="L119" s="24">
        <f t="shared" ref="L119:Q119" si="41">L114*14+L117*12</f>
        <v>84</v>
      </c>
      <c r="M119" s="24">
        <f t="shared" si="41"/>
        <v>98</v>
      </c>
      <c r="N119" s="24">
        <f t="shared" si="41"/>
        <v>112</v>
      </c>
      <c r="O119" s="24">
        <f t="shared" si="41"/>
        <v>532</v>
      </c>
      <c r="P119" s="24">
        <f t="shared" si="41"/>
        <v>1162</v>
      </c>
      <c r="Q119" s="24">
        <f t="shared" si="41"/>
        <v>1694</v>
      </c>
      <c r="R119" s="148"/>
      <c r="S119" s="149"/>
      <c r="T119" s="149"/>
      <c r="U119" s="150"/>
    </row>
    <row r="120" spans="1:21" x14ac:dyDescent="0.2">
      <c r="A120" s="145"/>
      <c r="B120" s="146"/>
      <c r="C120" s="146"/>
      <c r="D120" s="146"/>
      <c r="E120" s="146"/>
      <c r="F120" s="146"/>
      <c r="G120" s="146"/>
      <c r="H120" s="146"/>
      <c r="I120" s="146"/>
      <c r="J120" s="147"/>
      <c r="K120" s="159">
        <f>SUM(K119:N119)</f>
        <v>532</v>
      </c>
      <c r="L120" s="160"/>
      <c r="M120" s="160"/>
      <c r="N120" s="161"/>
      <c r="O120" s="162">
        <f>SUM(O119:P119)</f>
        <v>1694</v>
      </c>
      <c r="P120" s="163"/>
      <c r="Q120" s="164"/>
      <c r="R120" s="151"/>
      <c r="S120" s="152"/>
      <c r="T120" s="152"/>
      <c r="U120" s="153"/>
    </row>
    <row r="122" spans="1:21" s="68" customFormat="1" x14ac:dyDescent="0.2"/>
    <row r="123" spans="1:21" s="68" customFormat="1" x14ac:dyDescent="0.2"/>
    <row r="124" spans="1:21" s="68" customFormat="1" x14ac:dyDescent="0.2"/>
    <row r="125" spans="1:21" s="68" customFormat="1" x14ac:dyDescent="0.2"/>
    <row r="126" spans="1:21" s="68" customFormat="1" x14ac:dyDescent="0.2"/>
    <row r="127" spans="1:21" x14ac:dyDescent="0.2">
      <c r="B127" s="8"/>
      <c r="C127" s="8"/>
      <c r="D127" s="8"/>
      <c r="E127" s="8"/>
      <c r="F127" s="8"/>
      <c r="G127" s="8"/>
      <c r="H127" s="17"/>
      <c r="I127" s="17"/>
      <c r="J127" s="17"/>
      <c r="N127" s="8"/>
      <c r="O127" s="8"/>
      <c r="P127" s="8"/>
      <c r="Q127" s="8"/>
      <c r="R127" s="8"/>
      <c r="S127" s="8"/>
      <c r="T127" s="8"/>
    </row>
    <row r="129" spans="1:21" ht="28.5" customHeight="1" x14ac:dyDescent="0.2">
      <c r="A129" s="131" t="s">
        <v>101</v>
      </c>
      <c r="B129" s="169"/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</row>
    <row r="130" spans="1:21" ht="27.75" customHeight="1" x14ac:dyDescent="0.2">
      <c r="A130" s="154" t="s">
        <v>27</v>
      </c>
      <c r="B130" s="154" t="s">
        <v>26</v>
      </c>
      <c r="C130" s="154"/>
      <c r="D130" s="154"/>
      <c r="E130" s="154"/>
      <c r="F130" s="154"/>
      <c r="G130" s="154"/>
      <c r="H130" s="154"/>
      <c r="I130" s="154"/>
      <c r="J130" s="77" t="s">
        <v>39</v>
      </c>
      <c r="K130" s="77" t="s">
        <v>24</v>
      </c>
      <c r="L130" s="77"/>
      <c r="M130" s="77"/>
      <c r="N130" s="77"/>
      <c r="O130" s="77" t="s">
        <v>40</v>
      </c>
      <c r="P130" s="77"/>
      <c r="Q130" s="77"/>
      <c r="R130" s="77" t="s">
        <v>23</v>
      </c>
      <c r="S130" s="77"/>
      <c r="T130" s="77"/>
      <c r="U130" s="77" t="s">
        <v>22</v>
      </c>
    </row>
    <row r="131" spans="1:21" ht="16.5" customHeight="1" x14ac:dyDescent="0.2">
      <c r="A131" s="154"/>
      <c r="B131" s="154"/>
      <c r="C131" s="154"/>
      <c r="D131" s="154"/>
      <c r="E131" s="154"/>
      <c r="F131" s="154"/>
      <c r="G131" s="154"/>
      <c r="H131" s="154"/>
      <c r="I131" s="154"/>
      <c r="J131" s="77"/>
      <c r="K131" s="30" t="s">
        <v>28</v>
      </c>
      <c r="L131" s="30" t="s">
        <v>29</v>
      </c>
      <c r="M131" s="61" t="s">
        <v>103</v>
      </c>
      <c r="N131" s="30" t="s">
        <v>104</v>
      </c>
      <c r="O131" s="30" t="s">
        <v>33</v>
      </c>
      <c r="P131" s="30" t="s">
        <v>7</v>
      </c>
      <c r="Q131" s="30" t="s">
        <v>30</v>
      </c>
      <c r="R131" s="30" t="s">
        <v>31</v>
      </c>
      <c r="S131" s="30" t="s">
        <v>28</v>
      </c>
      <c r="T131" s="30" t="s">
        <v>32</v>
      </c>
      <c r="U131" s="77"/>
    </row>
    <row r="132" spans="1:21" ht="17.25" customHeight="1" x14ac:dyDescent="0.2">
      <c r="A132" s="78" t="s">
        <v>61</v>
      </c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80"/>
    </row>
    <row r="133" spans="1:21" x14ac:dyDescent="0.2">
      <c r="A133" s="33" t="str">
        <f>IF(ISNA(INDEX($A$37:$U$95,MATCH($B133,$B$37:$B$95,0),1)),"",INDEX($A$37:$U$95,MATCH($B133,$B$37:$B$95,0),1))</f>
        <v/>
      </c>
      <c r="B133" s="155"/>
      <c r="C133" s="155"/>
      <c r="D133" s="155"/>
      <c r="E133" s="155"/>
      <c r="F133" s="155"/>
      <c r="G133" s="155"/>
      <c r="H133" s="155"/>
      <c r="I133" s="155"/>
      <c r="J133" s="20" t="str">
        <f>IF(ISNA(INDEX($A$37:$U$95,MATCH($B133,$B$37:$B$95,0),10)),"",INDEX($A$37:$U$95,MATCH($B133,$B$37:$B$95,0),10))</f>
        <v/>
      </c>
      <c r="K133" s="20" t="str">
        <f>IF(ISNA(INDEX($A$37:$U$95,MATCH($B133,$B$37:$B$95,0),11)),"",INDEX($A$37:$U$95,MATCH($B133,$B$37:$B$95,0),11))</f>
        <v/>
      </c>
      <c r="L133" s="20" t="str">
        <f>IF(ISNA(INDEX($A$37:$U$95,MATCH($B133,$B$37:$B$95,0),12)),"",INDEX($A$37:$U$95,MATCH($B133,$B$37:$B$95,0),12))</f>
        <v/>
      </c>
      <c r="M133" s="20" t="str">
        <f>IF(ISNA(INDEX($A$37:$U$95,MATCH($B133,$B$37:$B$95,0),13)),"",INDEX($A$37:$U$95,MATCH($B133,$B$37:$B$95,0),13))</f>
        <v/>
      </c>
      <c r="N133" s="20" t="str">
        <f>IF(ISNA(INDEX($A$37:$U$95,MATCH($B133,$B$37:$B$95,0),14)),"",INDEX($A$37:$U$95,MATCH($B133,$B$37:$B$95,0),14))</f>
        <v/>
      </c>
      <c r="O133" s="20" t="str">
        <f>IF(ISNA(INDEX($A$37:$U$95,MATCH($B133,$B$37:$B$95,0),15)),"",INDEX($A$37:$U$95,MATCH($B133,$B$37:$B$95,0),15))</f>
        <v/>
      </c>
      <c r="P133" s="20" t="str">
        <f>IF(ISNA(INDEX($A$37:$U$95,MATCH($B133,$B$37:$B$95,0),16)),"",INDEX($A$37:$U$95,MATCH($B133,$B$37:$B$95,0),16))</f>
        <v/>
      </c>
      <c r="Q133" s="20" t="str">
        <f>IF(ISNA(INDEX($A$37:$U$95,MATCH($B133,$B$37:$B$95,0),17)),"",INDEX($A$37:$U$95,MATCH($B133,$B$37:$B$95,0),17))</f>
        <v/>
      </c>
      <c r="R133" s="29" t="str">
        <f>IF(ISNA(INDEX($A$37:$U$95,MATCH($B133,$B$37:$B$95,0),18)),"",INDEX($A$37:$U$95,MATCH($B133,$B$37:$B$95,0),18))</f>
        <v/>
      </c>
      <c r="S133" s="29" t="str">
        <f>IF(ISNA(INDEX($A$37:$U$95,MATCH($B133,$B$37:$B$95,0),19)),"",INDEX($A$37:$U$95,MATCH($B133,$B$37:$B$95,0),19))</f>
        <v/>
      </c>
      <c r="T133" s="29" t="str">
        <f>IF(ISNA(INDEX($A$37:$U$95,MATCH($B133,$B$37:$B$95,0),20)),"",INDEX($A$37:$U$95,MATCH($B133,$B$37:$B$95,0),20))</f>
        <v/>
      </c>
      <c r="U133" s="21"/>
    </row>
    <row r="134" spans="1:21" x14ac:dyDescent="0.2">
      <c r="A134" s="22" t="s">
        <v>25</v>
      </c>
      <c r="B134" s="165"/>
      <c r="C134" s="166"/>
      <c r="D134" s="166"/>
      <c r="E134" s="166"/>
      <c r="F134" s="166"/>
      <c r="G134" s="166"/>
      <c r="H134" s="166"/>
      <c r="I134" s="167"/>
      <c r="J134" s="24">
        <f t="shared" ref="J134:Q134" si="42">SUM(J133:J133)</f>
        <v>0</v>
      </c>
      <c r="K134" s="24">
        <f t="shared" si="42"/>
        <v>0</v>
      </c>
      <c r="L134" s="24">
        <f t="shared" si="42"/>
        <v>0</v>
      </c>
      <c r="M134" s="24">
        <f t="shared" si="42"/>
        <v>0</v>
      </c>
      <c r="N134" s="24">
        <f t="shared" si="42"/>
        <v>0</v>
      </c>
      <c r="O134" s="24">
        <f t="shared" si="42"/>
        <v>0</v>
      </c>
      <c r="P134" s="24">
        <f t="shared" si="42"/>
        <v>0</v>
      </c>
      <c r="Q134" s="24">
        <f t="shared" si="42"/>
        <v>0</v>
      </c>
      <c r="R134" s="22">
        <f>COUNTIF(R133:R133,"E")</f>
        <v>0</v>
      </c>
      <c r="S134" s="22">
        <f>COUNTIF(S133:S133,"C")</f>
        <v>0</v>
      </c>
      <c r="T134" s="22">
        <f>COUNTIF(T133:T133,"VP")</f>
        <v>0</v>
      </c>
      <c r="U134" s="19"/>
    </row>
    <row r="135" spans="1:21" ht="18.75" customHeight="1" x14ac:dyDescent="0.2">
      <c r="A135" s="78" t="s">
        <v>62</v>
      </c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80"/>
    </row>
    <row r="136" spans="1:21" x14ac:dyDescent="0.2">
      <c r="A136" s="33" t="str">
        <f>IF(ISNA(INDEX($A$37:$U$95,MATCH($B136,$B$37:$B$95,0),1)),"",INDEX($A$37:$U$95,MATCH($B136,$B$37:$B$95,0),1))</f>
        <v>MMX3221</v>
      </c>
      <c r="B136" s="155" t="s">
        <v>138</v>
      </c>
      <c r="C136" s="155"/>
      <c r="D136" s="155"/>
      <c r="E136" s="155"/>
      <c r="F136" s="155"/>
      <c r="G136" s="155"/>
      <c r="H136" s="155"/>
      <c r="I136" s="155"/>
      <c r="J136" s="20">
        <f>IF(ISNA(INDEX($A$37:$U$95,MATCH($B136,$B$37:$B$95,0),10)),"",INDEX($A$37:$U$95,MATCH($B136,$B$37:$B$95,0),10))</f>
        <v>8</v>
      </c>
      <c r="K136" s="20">
        <f>IF(ISNA(INDEX($A$37:$U$95,MATCH($B136,$B$37:$B$95,0),11)),"",INDEX($A$37:$U$95,MATCH($B136,$B$37:$B$95,0),11))</f>
        <v>2</v>
      </c>
      <c r="L136" s="20">
        <f>IF(ISNA(INDEX($A$37:$U$95,MATCH($B136,$B$37:$B$95,0),12)),"",INDEX($A$37:$U$95,MATCH($B136,$B$37:$B$95,0),12))</f>
        <v>1</v>
      </c>
      <c r="M136" s="20">
        <f>IF(ISNA(INDEX($A$37:$U$95,MATCH($B136,$B$37:$B$95,0),13)),"",INDEX($A$37:$U$95,MATCH($B136,$B$37:$B$95,0),13))</f>
        <v>0</v>
      </c>
      <c r="N136" s="20">
        <f>IF(ISNA(INDEX($A$37:$U$95,MATCH($B136,$B$37:$B$95,0),14)),"",INDEX($A$37:$U$95,MATCH($B136,$B$37:$B$95,0),14))</f>
        <v>1</v>
      </c>
      <c r="O136" s="20">
        <f>IF(ISNA(INDEX($A$37:$U$95,MATCH($B136,$B$37:$B$95,0),15)),"",INDEX($A$37:$U$95,MATCH($B136,$B$37:$B$95,0),15))</f>
        <v>4</v>
      </c>
      <c r="P136" s="20">
        <f>IF(ISNA(INDEX($A$37:$U$95,MATCH($B136,$B$37:$B$95,0),16)),"",INDEX($A$37:$U$95,MATCH($B136,$B$37:$B$95,0),16))</f>
        <v>13</v>
      </c>
      <c r="Q136" s="20">
        <f>IF(ISNA(INDEX($A$37:$U$95,MATCH($B136,$B$37:$B$95,0),17)),"",INDEX($A$37:$U$95,MATCH($B136,$B$37:$B$95,0),17))</f>
        <v>17</v>
      </c>
      <c r="R136" s="29" t="str">
        <f>IF(ISNA(INDEX($A$37:$U$95,MATCH($B136,$B$37:$B$95,0),18)),"",INDEX($A$37:$U$95,MATCH($B136,$B$37:$B$95,0),18))</f>
        <v>E</v>
      </c>
      <c r="S136" s="29">
        <f>IF(ISNA(INDEX($A$37:$U$95,MATCH($B136,$B$37:$B$95,0),19)),"",INDEX($A$37:$U$95,MATCH($B136,$B$37:$B$95,0),19))</f>
        <v>0</v>
      </c>
      <c r="T136" s="29">
        <f>IF(ISNA(INDEX($A$37:$U$95,MATCH($B136,$B$37:$B$95,0),20)),"",INDEX($A$37:$U$95,MATCH($B136,$B$37:$B$95,0),20))</f>
        <v>0</v>
      </c>
      <c r="U136" s="21" t="s">
        <v>37</v>
      </c>
    </row>
    <row r="137" spans="1:21" x14ac:dyDescent="0.2">
      <c r="A137" s="33" t="str">
        <f>IF(ISNA(INDEX($A$37:$U$95,MATCH($B137,$B$37:$B$95,0),1)),"",INDEX($A$37:$U$95,MATCH($B137,$B$37:$B$95,0),1))</f>
        <v>MMX3222</v>
      </c>
      <c r="B137" s="155" t="s">
        <v>140</v>
      </c>
      <c r="C137" s="155"/>
      <c r="D137" s="155"/>
      <c r="E137" s="155"/>
      <c r="F137" s="155"/>
      <c r="G137" s="155"/>
      <c r="H137" s="155"/>
      <c r="I137" s="155"/>
      <c r="J137" s="20">
        <f>IF(ISNA(INDEX($A$37:$U$95,MATCH($B137,$B$37:$B$95,0),10)),"",INDEX($A$37:$U$95,MATCH($B137,$B$37:$B$95,0),10))</f>
        <v>8</v>
      </c>
      <c r="K137" s="20">
        <f>IF(ISNA(INDEX($A$37:$U$95,MATCH($B137,$B$37:$B$95,0),11)),"",INDEX($A$37:$U$95,MATCH($B137,$B$37:$B$95,0),11))</f>
        <v>2</v>
      </c>
      <c r="L137" s="20">
        <f>IF(ISNA(INDEX($A$37:$U$95,MATCH($B137,$B$37:$B$95,0),12)),"",INDEX($A$37:$U$95,MATCH($B137,$B$37:$B$95,0),12))</f>
        <v>1</v>
      </c>
      <c r="M137" s="20">
        <f>IF(ISNA(INDEX($A$37:$U$95,MATCH($B137,$B$37:$B$95,0),13)),"",INDEX($A$37:$U$95,MATCH($B137,$B$37:$B$95,0),13))</f>
        <v>0</v>
      </c>
      <c r="N137" s="20">
        <f>IF(ISNA(INDEX($A$37:$U$95,MATCH($B137,$B$37:$B$95,0),14)),"",INDEX($A$37:$U$95,MATCH($B137,$B$37:$B$95,0),14))</f>
        <v>1</v>
      </c>
      <c r="O137" s="20">
        <f>IF(ISNA(INDEX($A$37:$U$95,MATCH($B137,$B$37:$B$95,0),15)),"",INDEX($A$37:$U$95,MATCH($B137,$B$37:$B$95,0),15))</f>
        <v>4</v>
      </c>
      <c r="P137" s="20">
        <f>IF(ISNA(INDEX($A$37:$U$95,MATCH($B137,$B$37:$B$95,0),16)),"",INDEX($A$37:$U$95,MATCH($B137,$B$37:$B$95,0),16))</f>
        <v>13</v>
      </c>
      <c r="Q137" s="20">
        <f>IF(ISNA(INDEX($A$37:$U$95,MATCH($B137,$B$37:$B$95,0),17)),"",INDEX($A$37:$U$95,MATCH($B137,$B$37:$B$95,0),17))</f>
        <v>17</v>
      </c>
      <c r="R137" s="29" t="str">
        <f>IF(ISNA(INDEX($A$37:$U$95,MATCH($B137,$B$37:$B$95,0),18)),"",INDEX($A$37:$U$95,MATCH($B137,$B$37:$B$95,0),18))</f>
        <v>E</v>
      </c>
      <c r="S137" s="29">
        <f>IF(ISNA(INDEX($A$37:$U$95,MATCH($B137,$B$37:$B$95,0),19)),"",INDEX($A$37:$U$95,MATCH($B137,$B$37:$B$95,0),19))</f>
        <v>0</v>
      </c>
      <c r="T137" s="29">
        <f>IF(ISNA(INDEX($A$37:$U$95,MATCH($B137,$B$37:$B$95,0),20)),"",INDEX($A$37:$U$95,MATCH($B137,$B$37:$B$95,0),20))</f>
        <v>0</v>
      </c>
      <c r="U137" s="21" t="s">
        <v>37</v>
      </c>
    </row>
    <row r="138" spans="1:21" x14ac:dyDescent="0.2">
      <c r="A138" s="33" t="str">
        <f>IF(ISNA(INDEX($A$37:$U$95,MATCH($B138,$B$37:$B$95,0),1)),"",INDEX($A$37:$U$95,MATCH($B138,$B$37:$B$95,0),1))</f>
        <v>MMR3056</v>
      </c>
      <c r="B138" s="155" t="s">
        <v>142</v>
      </c>
      <c r="C138" s="155"/>
      <c r="D138" s="155"/>
      <c r="E138" s="155"/>
      <c r="F138" s="155"/>
      <c r="G138" s="155"/>
      <c r="H138" s="155"/>
      <c r="I138" s="155"/>
      <c r="J138" s="20">
        <f>IF(ISNA(INDEX($A$37:$U$95,MATCH($B138,$B$37:$B$95,0),10)),"",INDEX($A$37:$U$95,MATCH($B138,$B$37:$B$95,0),10))</f>
        <v>5</v>
      </c>
      <c r="K138" s="20">
        <f>IF(ISNA(INDEX($A$37:$U$95,MATCH($B138,$B$37:$B$95,0),11)),"",INDEX($A$37:$U$95,MATCH($B138,$B$37:$B$95,0),11))</f>
        <v>0</v>
      </c>
      <c r="L138" s="20">
        <f>IF(ISNA(INDEX($A$37:$U$95,MATCH($B138,$B$37:$B$95,0),12)),"",INDEX($A$37:$U$95,MATCH($B138,$B$37:$B$95,0),12))</f>
        <v>0</v>
      </c>
      <c r="M138" s="20">
        <f>IF(ISNA(INDEX($A$37:$U$95,MATCH($B138,$B$37:$B$95,0),13)),"",INDEX($A$37:$U$95,MATCH($B138,$B$37:$B$95,0),13))</f>
        <v>1</v>
      </c>
      <c r="N138" s="20">
        <f>IF(ISNA(INDEX($A$37:$U$95,MATCH($B138,$B$37:$B$95,0),14)),"",INDEX($A$37:$U$95,MATCH($B138,$B$37:$B$95,0),14))</f>
        <v>2</v>
      </c>
      <c r="O138" s="20">
        <f>IF(ISNA(INDEX($A$37:$U$95,MATCH($B138,$B$37:$B$95,0),15)),"",INDEX($A$37:$U$95,MATCH($B138,$B$37:$B$95,0),15))</f>
        <v>3</v>
      </c>
      <c r="P138" s="20">
        <f>IF(ISNA(INDEX($A$37:$U$95,MATCH($B138,$B$37:$B$95,0),16)),"",INDEX($A$37:$U$95,MATCH($B138,$B$37:$B$95,0),16))</f>
        <v>7</v>
      </c>
      <c r="Q138" s="20">
        <f>IF(ISNA(INDEX($A$37:$U$95,MATCH($B138,$B$37:$B$95,0),17)),"",INDEX($A$37:$U$95,MATCH($B138,$B$37:$B$95,0),17))</f>
        <v>10</v>
      </c>
      <c r="R138" s="29" t="str">
        <f>IF(ISNA(INDEX($A$37:$U$95,MATCH($B138,$B$37:$B$95,0),18)),"",INDEX($A$37:$U$95,MATCH($B138,$B$37:$B$95,0),18))</f>
        <v>E</v>
      </c>
      <c r="S138" s="29">
        <f>IF(ISNA(INDEX($A$37:$U$95,MATCH($B138,$B$37:$B$95,0),19)),"",INDEX($A$37:$U$95,MATCH($B138,$B$37:$B$95,0),19))</f>
        <v>0</v>
      </c>
      <c r="T138" s="29">
        <f>IF(ISNA(INDEX($A$37:$U$95,MATCH($B138,$B$37:$B$95,0),20)),"",INDEX($A$37:$U$95,MATCH($B138,$B$37:$B$95,0),20))</f>
        <v>0</v>
      </c>
      <c r="U138" s="21" t="s">
        <v>37</v>
      </c>
    </row>
    <row r="139" spans="1:21" x14ac:dyDescent="0.2">
      <c r="A139" s="33" t="str">
        <f>IF(ISNA(INDEX($A$37:$U$95,MATCH($B139,$B$37:$B$95,0),1)),"",INDEX($A$37:$U$95,MATCH($B139,$B$37:$B$95,0),1))</f>
        <v>MMR3401</v>
      </c>
      <c r="B139" s="155" t="s">
        <v>144</v>
      </c>
      <c r="C139" s="155"/>
      <c r="D139" s="155"/>
      <c r="E139" s="155"/>
      <c r="F139" s="155"/>
      <c r="G139" s="155"/>
      <c r="H139" s="155"/>
      <c r="I139" s="155"/>
      <c r="J139" s="20">
        <f>IF(ISNA(INDEX($A$37:$U$95,MATCH($B139,$B$37:$B$95,0),10)),"",INDEX($A$37:$U$95,MATCH($B139,$B$37:$B$95,0),10))</f>
        <v>6</v>
      </c>
      <c r="K139" s="20">
        <f>IF(ISNA(INDEX($A$37:$U$95,MATCH($B139,$B$37:$B$95,0),11)),"",INDEX($A$37:$U$95,MATCH($B139,$B$37:$B$95,0),11))</f>
        <v>0</v>
      </c>
      <c r="L139" s="20">
        <f>IF(ISNA(INDEX($A$37:$U$95,MATCH($B139,$B$37:$B$95,0),12)),"",INDEX($A$37:$U$95,MATCH($B139,$B$37:$B$95,0),12))</f>
        <v>0</v>
      </c>
      <c r="M139" s="20">
        <f>IF(ISNA(INDEX($A$37:$U$95,MATCH($B139,$B$37:$B$95,0),13)),"",INDEX($A$37:$U$95,MATCH($B139,$B$37:$B$95,0),13))</f>
        <v>0</v>
      </c>
      <c r="N139" s="20">
        <f>IF(ISNA(INDEX($A$37:$U$95,MATCH($B139,$B$37:$B$95,0),14)),"",INDEX($A$37:$U$95,MATCH($B139,$B$37:$B$95,0),14))</f>
        <v>4</v>
      </c>
      <c r="O139" s="20">
        <f>IF(ISNA(INDEX($A$37:$U$95,MATCH($B139,$B$37:$B$95,0),15)),"",INDEX($A$37:$U$95,MATCH($B139,$B$37:$B$95,0),15))</f>
        <v>4</v>
      </c>
      <c r="P139" s="20">
        <f>IF(ISNA(INDEX($A$37:$U$95,MATCH($B139,$B$37:$B$95,0),16)),"",INDEX($A$37:$U$95,MATCH($B139,$B$37:$B$95,0),16))</f>
        <v>9</v>
      </c>
      <c r="Q139" s="20">
        <f>IF(ISNA(INDEX($A$37:$U$95,MATCH($B139,$B$37:$B$95,0),17)),"",INDEX($A$37:$U$95,MATCH($B139,$B$37:$B$95,0),17))</f>
        <v>13</v>
      </c>
      <c r="R139" s="29">
        <f>IF(ISNA(INDEX($A$37:$U$95,MATCH($B139,$B$37:$B$95,0),18)),"",INDEX($A$37:$U$95,MATCH($B139,$B$37:$B$95,0),18))</f>
        <v>0</v>
      </c>
      <c r="S139" s="29" t="str">
        <f>IF(ISNA(INDEX($A$37:$U$95,MATCH($B139,$B$37:$B$95,0),19)),"",INDEX($A$37:$U$95,MATCH($B139,$B$37:$B$95,0),19))</f>
        <v>C</v>
      </c>
      <c r="T139" s="29">
        <f>IF(ISNA(INDEX($A$37:$U$95,MATCH($B139,$B$37:$B$95,0),20)),"",INDEX($A$37:$U$95,MATCH($B139,$B$37:$B$95,0),20))</f>
        <v>0</v>
      </c>
      <c r="U139" s="21" t="s">
        <v>37</v>
      </c>
    </row>
    <row r="140" spans="1:21" x14ac:dyDescent="0.2">
      <c r="A140" s="22" t="s">
        <v>25</v>
      </c>
      <c r="B140" s="154"/>
      <c r="C140" s="154"/>
      <c r="D140" s="154"/>
      <c r="E140" s="154"/>
      <c r="F140" s="154"/>
      <c r="G140" s="154"/>
      <c r="H140" s="154"/>
      <c r="I140" s="154"/>
      <c r="J140" s="24">
        <f t="shared" ref="J140:Q140" si="43">SUM(J136:J139)</f>
        <v>27</v>
      </c>
      <c r="K140" s="24">
        <f t="shared" si="43"/>
        <v>4</v>
      </c>
      <c r="L140" s="24">
        <f t="shared" si="43"/>
        <v>2</v>
      </c>
      <c r="M140" s="24">
        <f t="shared" si="43"/>
        <v>1</v>
      </c>
      <c r="N140" s="24">
        <f t="shared" si="43"/>
        <v>8</v>
      </c>
      <c r="O140" s="24">
        <f t="shared" si="43"/>
        <v>15</v>
      </c>
      <c r="P140" s="24">
        <f t="shared" si="43"/>
        <v>42</v>
      </c>
      <c r="Q140" s="24">
        <f t="shared" si="43"/>
        <v>57</v>
      </c>
      <c r="R140" s="22">
        <f>COUNTIF(R136:R139,"E")</f>
        <v>3</v>
      </c>
      <c r="S140" s="22">
        <f>COUNTIF(S136:S139,"C")</f>
        <v>1</v>
      </c>
      <c r="T140" s="22">
        <f>COUNTIF(T136:T139,"VP")</f>
        <v>0</v>
      </c>
      <c r="U140" s="23"/>
    </row>
    <row r="141" spans="1:21" ht="30.75" customHeight="1" x14ac:dyDescent="0.2">
      <c r="A141" s="156" t="s">
        <v>72</v>
      </c>
      <c r="B141" s="157"/>
      <c r="C141" s="157"/>
      <c r="D141" s="157"/>
      <c r="E141" s="157"/>
      <c r="F141" s="157"/>
      <c r="G141" s="157"/>
      <c r="H141" s="157"/>
      <c r="I141" s="158"/>
      <c r="J141" s="24">
        <f t="shared" ref="J141:T141" si="44">SUM(J134,J140)</f>
        <v>27</v>
      </c>
      <c r="K141" s="24">
        <f t="shared" si="44"/>
        <v>4</v>
      </c>
      <c r="L141" s="24">
        <f t="shared" si="44"/>
        <v>2</v>
      </c>
      <c r="M141" s="24">
        <f t="shared" si="44"/>
        <v>1</v>
      </c>
      <c r="N141" s="24">
        <f t="shared" si="44"/>
        <v>8</v>
      </c>
      <c r="O141" s="24">
        <f t="shared" si="44"/>
        <v>15</v>
      </c>
      <c r="P141" s="24">
        <f t="shared" si="44"/>
        <v>42</v>
      </c>
      <c r="Q141" s="24">
        <f t="shared" si="44"/>
        <v>57</v>
      </c>
      <c r="R141" s="24">
        <f t="shared" si="44"/>
        <v>3</v>
      </c>
      <c r="S141" s="24">
        <f t="shared" si="44"/>
        <v>1</v>
      </c>
      <c r="T141" s="24">
        <f t="shared" si="44"/>
        <v>0</v>
      </c>
      <c r="U141" s="67">
        <v>0.23530000000000001</v>
      </c>
    </row>
    <row r="142" spans="1:21" ht="15.75" customHeight="1" x14ac:dyDescent="0.2">
      <c r="A142" s="142" t="s">
        <v>47</v>
      </c>
      <c r="B142" s="143"/>
      <c r="C142" s="143"/>
      <c r="D142" s="143"/>
      <c r="E142" s="143"/>
      <c r="F142" s="143"/>
      <c r="G142" s="143"/>
      <c r="H142" s="143"/>
      <c r="I142" s="143"/>
      <c r="J142" s="144"/>
      <c r="K142" s="24">
        <f>K134*14+K140*12</f>
        <v>48</v>
      </c>
      <c r="L142" s="24">
        <f t="shared" ref="L142:Q142" si="45">L134*14+L140*12</f>
        <v>24</v>
      </c>
      <c r="M142" s="24">
        <f t="shared" si="45"/>
        <v>12</v>
      </c>
      <c r="N142" s="24">
        <f t="shared" si="45"/>
        <v>96</v>
      </c>
      <c r="O142" s="24">
        <f t="shared" si="45"/>
        <v>180</v>
      </c>
      <c r="P142" s="24">
        <f t="shared" si="45"/>
        <v>504</v>
      </c>
      <c r="Q142" s="24">
        <f t="shared" si="45"/>
        <v>684</v>
      </c>
      <c r="R142" s="148"/>
      <c r="S142" s="149"/>
      <c r="T142" s="149"/>
      <c r="U142" s="150"/>
    </row>
    <row r="143" spans="1:21" ht="17.25" customHeight="1" x14ac:dyDescent="0.2">
      <c r="A143" s="145"/>
      <c r="B143" s="146"/>
      <c r="C143" s="146"/>
      <c r="D143" s="146"/>
      <c r="E143" s="146"/>
      <c r="F143" s="146"/>
      <c r="G143" s="146"/>
      <c r="H143" s="146"/>
      <c r="I143" s="146"/>
      <c r="J143" s="147"/>
      <c r="K143" s="159">
        <f>SUM(K142:N142)</f>
        <v>180</v>
      </c>
      <c r="L143" s="160"/>
      <c r="M143" s="160"/>
      <c r="N143" s="161"/>
      <c r="O143" s="162">
        <f>SUM(O142:P142)</f>
        <v>684</v>
      </c>
      <c r="P143" s="163"/>
      <c r="Q143" s="164"/>
      <c r="R143" s="151"/>
      <c r="S143" s="152"/>
      <c r="T143" s="152"/>
      <c r="U143" s="153"/>
    </row>
    <row r="144" spans="1:21" ht="8.25" customHeight="1" x14ac:dyDescent="0.2"/>
    <row r="145" spans="1:21" ht="23.25" customHeight="1" x14ac:dyDescent="0.2">
      <c r="A145" s="154" t="s">
        <v>66</v>
      </c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</row>
    <row r="146" spans="1:21" ht="26.25" customHeight="1" x14ac:dyDescent="0.2">
      <c r="A146" s="154" t="s">
        <v>27</v>
      </c>
      <c r="B146" s="154" t="s">
        <v>26</v>
      </c>
      <c r="C146" s="154"/>
      <c r="D146" s="154"/>
      <c r="E146" s="154"/>
      <c r="F146" s="154"/>
      <c r="G146" s="154"/>
      <c r="H146" s="154"/>
      <c r="I146" s="154"/>
      <c r="J146" s="77" t="s">
        <v>39</v>
      </c>
      <c r="K146" s="77" t="s">
        <v>24</v>
      </c>
      <c r="L146" s="77"/>
      <c r="M146" s="77"/>
      <c r="N146" s="77"/>
      <c r="O146" s="77" t="s">
        <v>40</v>
      </c>
      <c r="P146" s="77"/>
      <c r="Q146" s="77"/>
      <c r="R146" s="77" t="s">
        <v>23</v>
      </c>
      <c r="S146" s="77"/>
      <c r="T146" s="77"/>
      <c r="U146" s="77" t="s">
        <v>22</v>
      </c>
    </row>
    <row r="147" spans="1:21" x14ac:dyDescent="0.2">
      <c r="A147" s="154"/>
      <c r="B147" s="154"/>
      <c r="C147" s="154"/>
      <c r="D147" s="154"/>
      <c r="E147" s="154"/>
      <c r="F147" s="154"/>
      <c r="G147" s="154"/>
      <c r="H147" s="154"/>
      <c r="I147" s="154"/>
      <c r="J147" s="77"/>
      <c r="K147" s="30" t="s">
        <v>28</v>
      </c>
      <c r="L147" s="30" t="s">
        <v>29</v>
      </c>
      <c r="M147" s="61" t="s">
        <v>103</v>
      </c>
      <c r="N147" s="30" t="s">
        <v>104</v>
      </c>
      <c r="O147" s="30" t="s">
        <v>33</v>
      </c>
      <c r="P147" s="30" t="s">
        <v>7</v>
      </c>
      <c r="Q147" s="30" t="s">
        <v>30</v>
      </c>
      <c r="R147" s="30" t="s">
        <v>31</v>
      </c>
      <c r="S147" s="30" t="s">
        <v>28</v>
      </c>
      <c r="T147" s="30" t="s">
        <v>32</v>
      </c>
      <c r="U147" s="77"/>
    </row>
    <row r="148" spans="1:21" ht="18.75" customHeight="1" x14ac:dyDescent="0.2">
      <c r="A148" s="78" t="s">
        <v>61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80"/>
    </row>
    <row r="149" spans="1:21" x14ac:dyDescent="0.2">
      <c r="A149" s="33" t="str">
        <f>IF(ISNA(INDEX($A$37:$U$95,MATCH($B149,$B$37:$B$95,0),1)),"",INDEX($A$37:$U$95,MATCH($B149,$B$37:$B$95,0),1))</f>
        <v>MMR3046</v>
      </c>
      <c r="B149" s="155" t="s">
        <v>114</v>
      </c>
      <c r="C149" s="155"/>
      <c r="D149" s="155"/>
      <c r="E149" s="155"/>
      <c r="F149" s="155"/>
      <c r="G149" s="155"/>
      <c r="H149" s="155"/>
      <c r="I149" s="155"/>
      <c r="J149" s="20">
        <f>IF(ISNA(INDEX($A$37:$U$95,MATCH($B149,$B$37:$B$95,0),10)),"",INDEX($A$37:$U$95,MATCH($B149,$B$37:$B$95,0),10))</f>
        <v>8</v>
      </c>
      <c r="K149" s="20">
        <f>IF(ISNA(INDEX($A$37:$U$95,MATCH($B149,$B$37:$B$95,0),11)),"",INDEX($A$37:$U$95,MATCH($B149,$B$37:$B$95,0),11))</f>
        <v>2</v>
      </c>
      <c r="L149" s="20">
        <f>IF(ISNA(INDEX($A$37:$U$95,MATCH($B149,$B$37:$B$95,0),12)),"",INDEX($A$37:$U$95,MATCH($B149,$B$37:$B$95,0),12))</f>
        <v>1</v>
      </c>
      <c r="M149" s="20">
        <f>IF(ISNA(INDEX($A$37:$U$95,MATCH($B149,$B$37:$B$95,0),13)),"",INDEX($A$37:$U$95,MATCH($B149,$B$37:$B$95,0),13))</f>
        <v>0</v>
      </c>
      <c r="N149" s="20">
        <f>IF(ISNA(INDEX($A$37:$U$95,MATCH($B149,$B$37:$B$95,0),14)),"",INDEX($A$37:$U$95,MATCH($B149,$B$37:$B$95,0),14))</f>
        <v>1</v>
      </c>
      <c r="O149" s="20">
        <f>IF(ISNA(INDEX($A$37:$U$95,MATCH($B149,$B$37:$B$95,0),15)),"",INDEX($A$37:$U$95,MATCH($B149,$B$37:$B$95,0),15))</f>
        <v>4</v>
      </c>
      <c r="P149" s="20">
        <f>IF(ISNA(INDEX($A$37:$U$95,MATCH($B149,$B$37:$B$95,0),16)),"",INDEX($A$37:$U$95,MATCH($B149,$B$37:$B$95,0),16))</f>
        <v>10</v>
      </c>
      <c r="Q149" s="20">
        <f>IF(ISNA(INDEX($A$37:$U$95,MATCH($B149,$B$37:$B$95,0),17)),"",INDEX($A$37:$U$95,MATCH($B149,$B$37:$B$95,0),17))</f>
        <v>14</v>
      </c>
      <c r="R149" s="29" t="str">
        <f>IF(ISNA(INDEX($A$37:$U$95,MATCH($B149,$B$37:$B$95,0),18)),"",INDEX($A$37:$U$95,MATCH($B149,$B$37:$B$95,0),18))</f>
        <v>E</v>
      </c>
      <c r="S149" s="29">
        <f>IF(ISNA(INDEX($A$37:$U$95,MATCH($B149,$B$37:$B$95,0),19)),"",INDEX($A$37:$U$95,MATCH($B149,$B$37:$B$95,0),19))</f>
        <v>0</v>
      </c>
      <c r="T149" s="29">
        <f>IF(ISNA(INDEX($A$37:$U$95,MATCH($B149,$B$37:$B$95,0),20)),"",INDEX($A$37:$U$95,MATCH($B149,$B$37:$B$95,0),20))</f>
        <v>0</v>
      </c>
      <c r="U149" s="19" t="s">
        <v>38</v>
      </c>
    </row>
    <row r="150" spans="1:21" x14ac:dyDescent="0.2">
      <c r="A150" s="33" t="str">
        <f>IF(ISNA(INDEX($A$37:$U$95,MATCH($B150,$B$37:$B$95,0),1)),"",INDEX($A$37:$U$95,MATCH($B150,$B$37:$B$95,0),1))</f>
        <v>MMR3034</v>
      </c>
      <c r="B150" s="155" t="s">
        <v>116</v>
      </c>
      <c r="C150" s="155"/>
      <c r="D150" s="155"/>
      <c r="E150" s="155"/>
      <c r="F150" s="155"/>
      <c r="G150" s="155"/>
      <c r="H150" s="155"/>
      <c r="I150" s="155"/>
      <c r="J150" s="20">
        <f>IF(ISNA(INDEX($A$37:$U$95,MATCH($B150,$B$37:$B$95,0),10)),"",INDEX($A$37:$U$95,MATCH($B150,$B$37:$B$95,0),10))</f>
        <v>7</v>
      </c>
      <c r="K150" s="20">
        <f>IF(ISNA(INDEX($A$37:$U$95,MATCH($B150,$B$37:$B$95,0),11)),"",INDEX($A$37:$U$95,MATCH($B150,$B$37:$B$95,0),11))</f>
        <v>2</v>
      </c>
      <c r="L150" s="20">
        <f>IF(ISNA(INDEX($A$37:$U$95,MATCH($B150,$B$37:$B$95,0),12)),"",INDEX($A$37:$U$95,MATCH($B150,$B$37:$B$95,0),12))</f>
        <v>1</v>
      </c>
      <c r="M150" s="20">
        <f>IF(ISNA(INDEX($A$37:$U$95,MATCH($B150,$B$37:$B$95,0),13)),"",INDEX($A$37:$U$95,MATCH($B150,$B$37:$B$95,0),13))</f>
        <v>0</v>
      </c>
      <c r="N150" s="20">
        <f>IF(ISNA(INDEX($A$37:$U$95,MATCH($B150,$B$37:$B$95,0),14)),"",INDEX($A$37:$U$95,MATCH($B150,$B$37:$B$95,0),14))</f>
        <v>1</v>
      </c>
      <c r="O150" s="20">
        <f>IF(ISNA(INDEX($A$37:$U$95,MATCH($B150,$B$37:$B$95,0),15)),"",INDEX($A$37:$U$95,MATCH($B150,$B$37:$B$95,0),15))</f>
        <v>4</v>
      </c>
      <c r="P150" s="20">
        <f>IF(ISNA(INDEX($A$37:$U$95,MATCH($B150,$B$37:$B$95,0),16)),"",INDEX($A$37:$U$95,MATCH($B150,$B$37:$B$95,0),16))</f>
        <v>9</v>
      </c>
      <c r="Q150" s="20">
        <f>IF(ISNA(INDEX($A$37:$U$95,MATCH($B150,$B$37:$B$95,0),17)),"",INDEX($A$37:$U$95,MATCH($B150,$B$37:$B$95,0),17))</f>
        <v>13</v>
      </c>
      <c r="R150" s="29">
        <f>IF(ISNA(INDEX($A$37:$U$95,MATCH($B150,$B$37:$B$95,0),18)),"",INDEX($A$37:$U$95,MATCH($B150,$B$37:$B$95,0),18))</f>
        <v>0</v>
      </c>
      <c r="S150" s="29" t="str">
        <f>IF(ISNA(INDEX($A$37:$U$95,MATCH($B150,$B$37:$B$95,0),19)),"",INDEX($A$37:$U$95,MATCH($B150,$B$37:$B$95,0),19))</f>
        <v>C</v>
      </c>
      <c r="T150" s="29">
        <f>IF(ISNA(INDEX($A$37:$U$95,MATCH($B150,$B$37:$B$95,0),20)),"",INDEX($A$37:$U$95,MATCH($B150,$B$37:$B$95,0),20))</f>
        <v>0</v>
      </c>
      <c r="U150" s="19" t="s">
        <v>38</v>
      </c>
    </row>
    <row r="151" spans="1:21" x14ac:dyDescent="0.2">
      <c r="A151" s="33" t="str">
        <f>IF(ISNA(INDEX($A$37:$U$95,MATCH($B151,$B$37:$B$95,0),1)),"",INDEX($A$37:$U$95,MATCH($B151,$B$37:$B$95,0),1))</f>
        <v>MMR3008</v>
      </c>
      <c r="B151" s="155" t="s">
        <v>118</v>
      </c>
      <c r="C151" s="155"/>
      <c r="D151" s="155"/>
      <c r="E151" s="155"/>
      <c r="F151" s="155"/>
      <c r="G151" s="155"/>
      <c r="H151" s="155"/>
      <c r="I151" s="155"/>
      <c r="J151" s="20">
        <f>IF(ISNA(INDEX($A$37:$U$95,MATCH($B151,$B$37:$B$95,0),10)),"",INDEX($A$37:$U$95,MATCH($B151,$B$37:$B$95,0),10))</f>
        <v>8</v>
      </c>
      <c r="K151" s="20">
        <f>IF(ISNA(INDEX($A$37:$U$95,MATCH($B151,$B$37:$B$95,0),11)),"",INDEX($A$37:$U$95,MATCH($B151,$B$37:$B$95,0),11))</f>
        <v>2</v>
      </c>
      <c r="L151" s="20">
        <f>IF(ISNA(INDEX($A$37:$U$95,MATCH($B151,$B$37:$B$95,0),12)),"",INDEX($A$37:$U$95,MATCH($B151,$B$37:$B$95,0),12))</f>
        <v>1</v>
      </c>
      <c r="M151" s="20">
        <f>IF(ISNA(INDEX($A$37:$U$95,MATCH($B151,$B$37:$B$95,0),13)),"",INDEX($A$37:$U$95,MATCH($B151,$B$37:$B$95,0),13))</f>
        <v>0</v>
      </c>
      <c r="N151" s="20">
        <f>IF(ISNA(INDEX($A$37:$U$95,MATCH($B151,$B$37:$B$95,0),14)),"",INDEX($A$37:$U$95,MATCH($B151,$B$37:$B$95,0),14))</f>
        <v>1</v>
      </c>
      <c r="O151" s="20">
        <f>IF(ISNA(INDEX($A$37:$U$95,MATCH($B151,$B$37:$B$95,0),15)),"",INDEX($A$37:$U$95,MATCH($B151,$B$37:$B$95,0),15))</f>
        <v>4</v>
      </c>
      <c r="P151" s="20">
        <f>IF(ISNA(INDEX($A$37:$U$95,MATCH($B151,$B$37:$B$95,0),16)),"",INDEX($A$37:$U$95,MATCH($B151,$B$37:$B$95,0),16))</f>
        <v>10</v>
      </c>
      <c r="Q151" s="20">
        <f>IF(ISNA(INDEX($A$37:$U$95,MATCH($B151,$B$37:$B$95,0),17)),"",INDEX($A$37:$U$95,MATCH($B151,$B$37:$B$95,0),17))</f>
        <v>14</v>
      </c>
      <c r="R151" s="29" t="str">
        <f>IF(ISNA(INDEX($A$37:$U$95,MATCH($B151,$B$37:$B$95,0),18)),"",INDEX($A$37:$U$95,MATCH($B151,$B$37:$B$95,0),18))</f>
        <v>E</v>
      </c>
      <c r="S151" s="29">
        <f>IF(ISNA(INDEX($A$37:$U$95,MATCH($B151,$B$37:$B$95,0),19)),"",INDEX($A$37:$U$95,MATCH($B151,$B$37:$B$95,0),19))</f>
        <v>0</v>
      </c>
      <c r="T151" s="29">
        <f>IF(ISNA(INDEX($A$37:$U$95,MATCH($B151,$B$37:$B$95,0),20)),"",INDEX($A$37:$U$95,MATCH($B151,$B$37:$B$95,0),20))</f>
        <v>0</v>
      </c>
      <c r="U151" s="19" t="s">
        <v>38</v>
      </c>
    </row>
    <row r="152" spans="1:21" x14ac:dyDescent="0.2">
      <c r="A152" s="22" t="s">
        <v>25</v>
      </c>
      <c r="B152" s="165"/>
      <c r="C152" s="166"/>
      <c r="D152" s="166"/>
      <c r="E152" s="166"/>
      <c r="F152" s="166"/>
      <c r="G152" s="166"/>
      <c r="H152" s="166"/>
      <c r="I152" s="167"/>
      <c r="J152" s="24">
        <f t="shared" ref="J152:Q152" si="46">SUM(J149:J151)</f>
        <v>23</v>
      </c>
      <c r="K152" s="24">
        <f t="shared" si="46"/>
        <v>6</v>
      </c>
      <c r="L152" s="24">
        <f t="shared" si="46"/>
        <v>3</v>
      </c>
      <c r="M152" s="24">
        <f t="shared" si="46"/>
        <v>0</v>
      </c>
      <c r="N152" s="24">
        <f t="shared" si="46"/>
        <v>3</v>
      </c>
      <c r="O152" s="24">
        <f t="shared" si="46"/>
        <v>12</v>
      </c>
      <c r="P152" s="24">
        <f t="shared" si="46"/>
        <v>29</v>
      </c>
      <c r="Q152" s="24">
        <f t="shared" si="46"/>
        <v>41</v>
      </c>
      <c r="R152" s="22">
        <f>COUNTIF(R149:R151,"E")</f>
        <v>2</v>
      </c>
      <c r="S152" s="22">
        <f>COUNTIF(S149:S151,"C")</f>
        <v>1</v>
      </c>
      <c r="T152" s="22">
        <f>COUNTIF(T149:T151,"VP")</f>
        <v>0</v>
      </c>
      <c r="U152" s="19"/>
    </row>
    <row r="153" spans="1:21" ht="18" customHeight="1" x14ac:dyDescent="0.2">
      <c r="A153" s="78" t="s">
        <v>63</v>
      </c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80"/>
    </row>
    <row r="154" spans="1:21" x14ac:dyDescent="0.2">
      <c r="A154" s="33" t="str">
        <f>IF(ISNA(INDEX($A$37:$U$95,MATCH($B154,$B$37:$B$95,0),1)),"",INDEX($A$37:$U$95,MATCH($B154,$B$37:$B$95,0),1))</f>
        <v>MMR7002</v>
      </c>
      <c r="B154" s="155" t="s">
        <v>146</v>
      </c>
      <c r="C154" s="155"/>
      <c r="D154" s="155"/>
      <c r="E154" s="155"/>
      <c r="F154" s="155"/>
      <c r="G154" s="155"/>
      <c r="H154" s="155"/>
      <c r="I154" s="155"/>
      <c r="J154" s="20">
        <f>IF(ISNA(INDEX($A$37:$U$95,MATCH($B154,$B$37:$B$95,0),10)),"",INDEX($A$37:$U$95,MATCH($B154,$B$37:$B$95,0),10))</f>
        <v>3</v>
      </c>
      <c r="K154" s="20">
        <f>IF(ISNA(INDEX($A$37:$U$95,MATCH($B154,$B$37:$B$95,0),11)),"",INDEX($A$37:$U$95,MATCH($B154,$B$37:$B$95,0),11))</f>
        <v>0</v>
      </c>
      <c r="L154" s="20">
        <f>IF(ISNA(INDEX($A$37:$U$95,MATCH($B154,$B$37:$B$95,0),12)),"",INDEX($A$37:$U$95,MATCH($B154,$B$37:$B$95,0),12))</f>
        <v>0</v>
      </c>
      <c r="M154" s="20">
        <f>IF(ISNA(INDEX($A$37:$U$95,MATCH($B154,$B$37:$B$95,0),13)),"",INDEX($A$37:$U$95,MATCH($B154,$B$37:$B$95,0),13))</f>
        <v>1</v>
      </c>
      <c r="N154" s="20">
        <f>IF(ISNA(INDEX($A$37:$U$95,MATCH($B154,$B$37:$B$95,0),14)),"",INDEX($A$37:$U$95,MATCH($B154,$B$37:$B$95,0),14))</f>
        <v>4</v>
      </c>
      <c r="O154" s="20">
        <f>IF(ISNA(INDEX($A$37:$U$95,MATCH($B154,$B$37:$B$95,0),15)),"",INDEX($A$37:$U$95,MATCH($B154,$B$37:$B$95,0),15))</f>
        <v>5</v>
      </c>
      <c r="P154" s="20">
        <f>IF(ISNA(INDEX($A$37:$U$95,MATCH($B154,$B$37:$B$95,0),16)),"",INDEX($A$37:$U$95,MATCH($B154,$B$37:$B$95,0),16))</f>
        <v>1</v>
      </c>
      <c r="Q154" s="20">
        <f>IF(ISNA(INDEX($A$37:$U$95,MATCH($B154,$B$37:$B$95,0),17)),"",INDEX($A$37:$U$95,MATCH($B154,$B$37:$B$95,0),17))</f>
        <v>6</v>
      </c>
      <c r="R154" s="29">
        <f>IF(ISNA(INDEX($A$37:$U$95,MATCH($B154,$B$37:$B$95,0),18)),"",INDEX($A$37:$U$95,MATCH($B154,$B$37:$B$95,0),18))</f>
        <v>0</v>
      </c>
      <c r="S154" s="29" t="str">
        <f>IF(ISNA(INDEX($A$37:$U$95,MATCH($B154,$B$37:$B$95,0),19)),"",INDEX($A$37:$U$95,MATCH($B154,$B$37:$B$95,0),19))</f>
        <v>C</v>
      </c>
      <c r="T154" s="29">
        <f>IF(ISNA(INDEX($A$37:$U$95,MATCH($B154,$B$37:$B$95,0),20)),"",INDEX($A$37:$U$95,MATCH($B154,$B$37:$B$95,0),20))</f>
        <v>0</v>
      </c>
      <c r="U154" s="19" t="s">
        <v>38</v>
      </c>
    </row>
    <row r="155" spans="1:21" x14ac:dyDescent="0.2">
      <c r="A155" s="22" t="s">
        <v>25</v>
      </c>
      <c r="B155" s="154"/>
      <c r="C155" s="154"/>
      <c r="D155" s="154"/>
      <c r="E155" s="154"/>
      <c r="F155" s="154"/>
      <c r="G155" s="154"/>
      <c r="H155" s="154"/>
      <c r="I155" s="154"/>
      <c r="J155" s="24">
        <f t="shared" ref="J155:Q155" si="47">SUM(J154:J154)</f>
        <v>3</v>
      </c>
      <c r="K155" s="24">
        <f t="shared" si="47"/>
        <v>0</v>
      </c>
      <c r="L155" s="24">
        <f t="shared" si="47"/>
        <v>0</v>
      </c>
      <c r="M155" s="24">
        <f t="shared" si="47"/>
        <v>1</v>
      </c>
      <c r="N155" s="24">
        <f t="shared" si="47"/>
        <v>4</v>
      </c>
      <c r="O155" s="24">
        <f t="shared" si="47"/>
        <v>5</v>
      </c>
      <c r="P155" s="24">
        <f t="shared" si="47"/>
        <v>1</v>
      </c>
      <c r="Q155" s="24">
        <f t="shared" si="47"/>
        <v>6</v>
      </c>
      <c r="R155" s="22">
        <f>COUNTIF(R154:R154,"E")</f>
        <v>0</v>
      </c>
      <c r="S155" s="22">
        <f>COUNTIF(S154:S154,"C")</f>
        <v>1</v>
      </c>
      <c r="T155" s="22">
        <f>COUNTIF(T154:T154,"VP")</f>
        <v>0</v>
      </c>
      <c r="U155" s="23"/>
    </row>
    <row r="156" spans="1:21" ht="25.5" customHeight="1" x14ac:dyDescent="0.2">
      <c r="A156" s="156" t="s">
        <v>72</v>
      </c>
      <c r="B156" s="157"/>
      <c r="C156" s="157"/>
      <c r="D156" s="157"/>
      <c r="E156" s="157"/>
      <c r="F156" s="157"/>
      <c r="G156" s="157"/>
      <c r="H156" s="157"/>
      <c r="I156" s="158"/>
      <c r="J156" s="24">
        <f t="shared" ref="J156:T156" si="48">SUM(J152,J155)</f>
        <v>26</v>
      </c>
      <c r="K156" s="24">
        <f t="shared" si="48"/>
        <v>6</v>
      </c>
      <c r="L156" s="24">
        <f t="shared" si="48"/>
        <v>3</v>
      </c>
      <c r="M156" s="24">
        <f t="shared" si="48"/>
        <v>1</v>
      </c>
      <c r="N156" s="24">
        <f t="shared" si="48"/>
        <v>7</v>
      </c>
      <c r="O156" s="24">
        <f t="shared" si="48"/>
        <v>17</v>
      </c>
      <c r="P156" s="24">
        <f t="shared" si="48"/>
        <v>30</v>
      </c>
      <c r="Q156" s="24">
        <f t="shared" si="48"/>
        <v>47</v>
      </c>
      <c r="R156" s="24">
        <f t="shared" si="48"/>
        <v>2</v>
      </c>
      <c r="S156" s="24">
        <f t="shared" si="48"/>
        <v>2</v>
      </c>
      <c r="T156" s="24">
        <f t="shared" si="48"/>
        <v>0</v>
      </c>
      <c r="U156" s="67">
        <v>0.23530000000000001</v>
      </c>
    </row>
    <row r="157" spans="1:21" ht="13.5" customHeight="1" x14ac:dyDescent="0.2">
      <c r="A157" s="142" t="s">
        <v>47</v>
      </c>
      <c r="B157" s="143"/>
      <c r="C157" s="143"/>
      <c r="D157" s="143"/>
      <c r="E157" s="143"/>
      <c r="F157" s="143"/>
      <c r="G157" s="143"/>
      <c r="H157" s="143"/>
      <c r="I157" s="143"/>
      <c r="J157" s="144"/>
      <c r="K157" s="24">
        <f>K152*14+K155*12</f>
        <v>84</v>
      </c>
      <c r="L157" s="24">
        <f t="shared" ref="L157:Q157" si="49">L152*14+L155*12</f>
        <v>42</v>
      </c>
      <c r="M157" s="24">
        <f t="shared" si="49"/>
        <v>12</v>
      </c>
      <c r="N157" s="24">
        <f t="shared" si="49"/>
        <v>90</v>
      </c>
      <c r="O157" s="24">
        <f t="shared" si="49"/>
        <v>228</v>
      </c>
      <c r="P157" s="24">
        <f t="shared" si="49"/>
        <v>418</v>
      </c>
      <c r="Q157" s="24">
        <f t="shared" si="49"/>
        <v>646</v>
      </c>
      <c r="R157" s="148"/>
      <c r="S157" s="149"/>
      <c r="T157" s="149"/>
      <c r="U157" s="150"/>
    </row>
    <row r="158" spans="1:21" ht="16.5" customHeight="1" x14ac:dyDescent="0.2">
      <c r="A158" s="145"/>
      <c r="B158" s="146"/>
      <c r="C158" s="146"/>
      <c r="D158" s="146"/>
      <c r="E158" s="146"/>
      <c r="F158" s="146"/>
      <c r="G158" s="146"/>
      <c r="H158" s="146"/>
      <c r="I158" s="146"/>
      <c r="J158" s="147"/>
      <c r="K158" s="159">
        <f>SUM(K157:N157)</f>
        <v>228</v>
      </c>
      <c r="L158" s="160"/>
      <c r="M158" s="160"/>
      <c r="N158" s="161"/>
      <c r="O158" s="162">
        <f>SUM(O157:P157)</f>
        <v>646</v>
      </c>
      <c r="P158" s="163"/>
      <c r="Q158" s="164"/>
      <c r="R158" s="151"/>
      <c r="S158" s="152"/>
      <c r="T158" s="152"/>
      <c r="U158" s="153"/>
    </row>
    <row r="160" spans="1:21" x14ac:dyDescent="0.2">
      <c r="A160" s="141" t="s">
        <v>58</v>
      </c>
      <c r="B160" s="141"/>
    </row>
    <row r="161" spans="1:35" x14ac:dyDescent="0.2">
      <c r="A161" s="133" t="s">
        <v>27</v>
      </c>
      <c r="B161" s="135" t="s">
        <v>50</v>
      </c>
      <c r="C161" s="136"/>
      <c r="D161" s="136"/>
      <c r="E161" s="136"/>
      <c r="F161" s="136"/>
      <c r="G161" s="137"/>
      <c r="H161" s="135" t="s">
        <v>53</v>
      </c>
      <c r="I161" s="137"/>
      <c r="J161" s="74" t="s">
        <v>54</v>
      </c>
      <c r="K161" s="75"/>
      <c r="L161" s="75"/>
      <c r="M161" s="75"/>
      <c r="N161" s="75"/>
      <c r="O161" s="75"/>
      <c r="P161" s="76"/>
      <c r="Q161" s="135" t="s">
        <v>46</v>
      </c>
      <c r="R161" s="137"/>
      <c r="S161" s="74" t="s">
        <v>55</v>
      </c>
      <c r="T161" s="75"/>
      <c r="U161" s="76"/>
    </row>
    <row r="162" spans="1:35" x14ac:dyDescent="0.2">
      <c r="A162" s="134"/>
      <c r="B162" s="138"/>
      <c r="C162" s="139"/>
      <c r="D162" s="139"/>
      <c r="E162" s="139"/>
      <c r="F162" s="139"/>
      <c r="G162" s="140"/>
      <c r="H162" s="138"/>
      <c r="I162" s="140"/>
      <c r="J162" s="74" t="s">
        <v>33</v>
      </c>
      <c r="K162" s="76"/>
      <c r="L162" s="74" t="s">
        <v>7</v>
      </c>
      <c r="M162" s="75"/>
      <c r="N162" s="76"/>
      <c r="O162" s="74" t="s">
        <v>30</v>
      </c>
      <c r="P162" s="76"/>
      <c r="Q162" s="138"/>
      <c r="R162" s="140"/>
      <c r="S162" s="39" t="s">
        <v>56</v>
      </c>
      <c r="T162" s="74" t="s">
        <v>57</v>
      </c>
      <c r="U162" s="76"/>
    </row>
    <row r="163" spans="1:35" x14ac:dyDescent="0.2">
      <c r="A163" s="39">
        <v>1</v>
      </c>
      <c r="B163" s="74" t="s">
        <v>51</v>
      </c>
      <c r="C163" s="75"/>
      <c r="D163" s="75"/>
      <c r="E163" s="75"/>
      <c r="F163" s="75"/>
      <c r="G163" s="76"/>
      <c r="H163" s="87">
        <f>J163</f>
        <v>844</v>
      </c>
      <c r="I163" s="87"/>
      <c r="J163" s="88">
        <f>SUM((O44+O55+O70)*14+(O80*12)-J164)</f>
        <v>844</v>
      </c>
      <c r="K163" s="89"/>
      <c r="L163" s="88">
        <f>SUM((P44+P55+P70)*14+(P80*12)-L164)</f>
        <v>1772</v>
      </c>
      <c r="M163" s="90"/>
      <c r="N163" s="89"/>
      <c r="O163" s="91">
        <f>SUM(J163:N163)</f>
        <v>2616</v>
      </c>
      <c r="P163" s="92"/>
      <c r="Q163" s="93">
        <f>H163/H165</f>
        <v>0.89787234042553188</v>
      </c>
      <c r="R163" s="94"/>
      <c r="S163" s="40">
        <f>J44+J55-S164</f>
        <v>60</v>
      </c>
      <c r="T163" s="95">
        <f>J70+J80-T164</f>
        <v>44</v>
      </c>
      <c r="U163" s="96"/>
    </row>
    <row r="164" spans="1:35" x14ac:dyDescent="0.2">
      <c r="A164" s="39">
        <v>2</v>
      </c>
      <c r="B164" s="74" t="s">
        <v>52</v>
      </c>
      <c r="C164" s="75"/>
      <c r="D164" s="75"/>
      <c r="E164" s="75"/>
      <c r="F164" s="75"/>
      <c r="G164" s="76"/>
      <c r="H164" s="87">
        <f>J164</f>
        <v>96</v>
      </c>
      <c r="I164" s="87"/>
      <c r="J164" s="97">
        <f>O93</f>
        <v>96</v>
      </c>
      <c r="K164" s="98"/>
      <c r="L164" s="97">
        <f>P93</f>
        <v>312</v>
      </c>
      <c r="M164" s="99"/>
      <c r="N164" s="98"/>
      <c r="O164" s="100">
        <f>SUM(J164:N164)</f>
        <v>408</v>
      </c>
      <c r="P164" s="92"/>
      <c r="Q164" s="93">
        <f>H164/H165</f>
        <v>0.10212765957446808</v>
      </c>
      <c r="R164" s="94"/>
      <c r="S164" s="18">
        <v>0</v>
      </c>
      <c r="T164" s="101">
        <v>16</v>
      </c>
      <c r="U164" s="102"/>
      <c r="V164" s="226" t="str">
        <f>IF(O164=Q93,"Corect","Nu corespunde cu tabelul de opționale")</f>
        <v>Corect</v>
      </c>
      <c r="W164" s="227"/>
      <c r="X164" s="227"/>
      <c r="Y164" s="227"/>
    </row>
    <row r="165" spans="1:35" x14ac:dyDescent="0.2">
      <c r="A165" s="74" t="s">
        <v>25</v>
      </c>
      <c r="B165" s="75"/>
      <c r="C165" s="75"/>
      <c r="D165" s="75"/>
      <c r="E165" s="75"/>
      <c r="F165" s="75"/>
      <c r="G165" s="76"/>
      <c r="H165" s="77">
        <f>SUM(H163:I164)</f>
        <v>940</v>
      </c>
      <c r="I165" s="77"/>
      <c r="J165" s="77">
        <f>SUM(J163:K164)</f>
        <v>940</v>
      </c>
      <c r="K165" s="77"/>
      <c r="L165" s="78">
        <f>SUM(L163:N164)</f>
        <v>2084</v>
      </c>
      <c r="M165" s="79"/>
      <c r="N165" s="80"/>
      <c r="O165" s="78">
        <f>SUM(O163:P164)</f>
        <v>3024</v>
      </c>
      <c r="P165" s="80"/>
      <c r="Q165" s="81">
        <f>SUM(Q163:R164)</f>
        <v>1</v>
      </c>
      <c r="R165" s="82"/>
      <c r="S165" s="41">
        <f>SUM(S163:S164)</f>
        <v>60</v>
      </c>
      <c r="T165" s="83">
        <f>SUM(T163:U164)</f>
        <v>60</v>
      </c>
      <c r="U165" s="84"/>
    </row>
    <row r="167" spans="1:35" x14ac:dyDescent="0.2">
      <c r="A167" s="85" t="s">
        <v>79</v>
      </c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</row>
    <row r="168" spans="1:35" x14ac:dyDescent="0.2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N168" s="47"/>
      <c r="O168" s="47"/>
      <c r="P168" s="47"/>
      <c r="Q168" s="47"/>
      <c r="R168" s="47"/>
      <c r="S168" s="47"/>
      <c r="T168" s="47"/>
      <c r="U168" s="47"/>
    </row>
    <row r="169" spans="1:35" ht="12.75" customHeight="1" x14ac:dyDescent="0.2">
      <c r="A169" s="130" t="s">
        <v>73</v>
      </c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03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04"/>
      <c r="AI169" s="104"/>
    </row>
    <row r="170" spans="1:35" ht="27.75" customHeight="1" x14ac:dyDescent="0.2">
      <c r="A170" s="130" t="s">
        <v>27</v>
      </c>
      <c r="B170" s="130" t="s">
        <v>26</v>
      </c>
      <c r="C170" s="130"/>
      <c r="D170" s="130"/>
      <c r="E170" s="130"/>
      <c r="F170" s="130"/>
      <c r="G170" s="130"/>
      <c r="H170" s="130"/>
      <c r="I170" s="130"/>
      <c r="J170" s="131" t="s">
        <v>39</v>
      </c>
      <c r="K170" s="131" t="s">
        <v>24</v>
      </c>
      <c r="L170" s="131"/>
      <c r="M170" s="131"/>
      <c r="N170" s="131"/>
      <c r="O170" s="131" t="s">
        <v>40</v>
      </c>
      <c r="P170" s="132"/>
      <c r="Q170" s="132"/>
      <c r="R170" s="131" t="s">
        <v>23</v>
      </c>
      <c r="S170" s="131"/>
      <c r="T170" s="131"/>
      <c r="U170" s="131" t="s">
        <v>22</v>
      </c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</row>
    <row r="171" spans="1:35" x14ac:dyDescent="0.2">
      <c r="A171" s="130"/>
      <c r="B171" s="130"/>
      <c r="C171" s="130"/>
      <c r="D171" s="130"/>
      <c r="E171" s="130"/>
      <c r="F171" s="130"/>
      <c r="G171" s="130"/>
      <c r="H171" s="130"/>
      <c r="I171" s="130"/>
      <c r="J171" s="131"/>
      <c r="K171" s="53" t="s">
        <v>28</v>
      </c>
      <c r="L171" s="53" t="s">
        <v>29</v>
      </c>
      <c r="M171" s="58" t="s">
        <v>103</v>
      </c>
      <c r="N171" s="53" t="s">
        <v>104</v>
      </c>
      <c r="O171" s="53" t="s">
        <v>33</v>
      </c>
      <c r="P171" s="53" t="s">
        <v>7</v>
      </c>
      <c r="Q171" s="53" t="s">
        <v>30</v>
      </c>
      <c r="R171" s="53" t="s">
        <v>31</v>
      </c>
      <c r="S171" s="53" t="s">
        <v>28</v>
      </c>
      <c r="T171" s="53" t="s">
        <v>32</v>
      </c>
      <c r="U171" s="131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</row>
    <row r="172" spans="1:35" x14ac:dyDescent="0.2">
      <c r="A172" s="86" t="s">
        <v>74</v>
      </c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</row>
    <row r="173" spans="1:35" s="47" customFormat="1" x14ac:dyDescent="0.2">
      <c r="A173" s="48" t="s">
        <v>67</v>
      </c>
      <c r="B173" s="69" t="s">
        <v>80</v>
      </c>
      <c r="C173" s="69"/>
      <c r="D173" s="69"/>
      <c r="E173" s="69"/>
      <c r="F173" s="69"/>
      <c r="G173" s="69"/>
      <c r="H173" s="69"/>
      <c r="I173" s="69"/>
      <c r="J173" s="44">
        <v>5</v>
      </c>
      <c r="K173" s="44">
        <v>2</v>
      </c>
      <c r="L173" s="44">
        <v>1</v>
      </c>
      <c r="M173" s="44">
        <v>1</v>
      </c>
      <c r="N173" s="44">
        <v>0</v>
      </c>
      <c r="O173" s="45">
        <f>K173+L173+N173+M173</f>
        <v>4</v>
      </c>
      <c r="P173" s="45">
        <f>Q173-O173</f>
        <v>5</v>
      </c>
      <c r="Q173" s="45">
        <f>ROUND(PRODUCT(J173,25)/14,0)</f>
        <v>9</v>
      </c>
      <c r="R173" s="44" t="s">
        <v>31</v>
      </c>
      <c r="S173" s="44"/>
      <c r="T173" s="46"/>
      <c r="U173" s="46" t="s">
        <v>36</v>
      </c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</row>
    <row r="174" spans="1:35" x14ac:dyDescent="0.2">
      <c r="A174" s="48" t="s">
        <v>68</v>
      </c>
      <c r="B174" s="69" t="s">
        <v>81</v>
      </c>
      <c r="C174" s="69"/>
      <c r="D174" s="69"/>
      <c r="E174" s="69"/>
      <c r="F174" s="69"/>
      <c r="G174" s="69"/>
      <c r="H174" s="69"/>
      <c r="I174" s="69"/>
      <c r="J174" s="44">
        <v>5</v>
      </c>
      <c r="K174" s="44">
        <v>2</v>
      </c>
      <c r="L174" s="44">
        <v>1</v>
      </c>
      <c r="M174" s="44"/>
      <c r="N174" s="44">
        <v>0</v>
      </c>
      <c r="O174" s="45">
        <f>K174+L174+N174</f>
        <v>3</v>
      </c>
      <c r="P174" s="45">
        <f>Q174-O174</f>
        <v>6</v>
      </c>
      <c r="Q174" s="45">
        <f>ROUND(PRODUCT(J174,25)/14,0)</f>
        <v>9</v>
      </c>
      <c r="R174" s="44" t="s">
        <v>31</v>
      </c>
      <c r="S174" s="44"/>
      <c r="T174" s="46"/>
      <c r="U174" s="46" t="s">
        <v>36</v>
      </c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</row>
    <row r="175" spans="1:35" x14ac:dyDescent="0.2">
      <c r="A175" s="106" t="s">
        <v>75</v>
      </c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8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</row>
    <row r="176" spans="1:35" ht="36" customHeight="1" x14ac:dyDescent="0.2">
      <c r="A176" s="48" t="s">
        <v>69</v>
      </c>
      <c r="B176" s="70" t="s">
        <v>94</v>
      </c>
      <c r="C176" s="71"/>
      <c r="D176" s="71"/>
      <c r="E176" s="71"/>
      <c r="F176" s="71"/>
      <c r="G176" s="71"/>
      <c r="H176" s="71"/>
      <c r="I176" s="72"/>
      <c r="J176" s="44">
        <v>5</v>
      </c>
      <c r="K176" s="44">
        <v>2</v>
      </c>
      <c r="L176" s="44">
        <v>1</v>
      </c>
      <c r="M176" s="44">
        <v>1</v>
      </c>
      <c r="N176" s="44">
        <v>0</v>
      </c>
      <c r="O176" s="45">
        <f>K176+L176+N176+M176</f>
        <v>4</v>
      </c>
      <c r="P176" s="45">
        <f>Q176-O176</f>
        <v>5</v>
      </c>
      <c r="Q176" s="45">
        <f>ROUND(PRODUCT(J176,25)/14,0)</f>
        <v>9</v>
      </c>
      <c r="R176" s="44" t="s">
        <v>31</v>
      </c>
      <c r="S176" s="44"/>
      <c r="T176" s="46"/>
      <c r="U176" s="46" t="s">
        <v>82</v>
      </c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</row>
    <row r="177" spans="1:35" s="47" customFormat="1" ht="15" customHeight="1" x14ac:dyDescent="0.2">
      <c r="A177" s="48" t="s">
        <v>70</v>
      </c>
      <c r="B177" s="70" t="s">
        <v>95</v>
      </c>
      <c r="C177" s="71"/>
      <c r="D177" s="71"/>
      <c r="E177" s="71"/>
      <c r="F177" s="71"/>
      <c r="G177" s="71"/>
      <c r="H177" s="71"/>
      <c r="I177" s="72"/>
      <c r="J177" s="44">
        <v>5</v>
      </c>
      <c r="K177" s="44">
        <v>1</v>
      </c>
      <c r="L177" s="44">
        <v>2</v>
      </c>
      <c r="M177" s="44"/>
      <c r="N177" s="44">
        <v>0</v>
      </c>
      <c r="O177" s="45">
        <f>K177+L177+N177+M177</f>
        <v>3</v>
      </c>
      <c r="P177" s="45">
        <f>Q177-O177</f>
        <v>6</v>
      </c>
      <c r="Q177" s="45">
        <f>ROUND(PRODUCT(J177,25)/14,0)</f>
        <v>9</v>
      </c>
      <c r="R177" s="44" t="s">
        <v>31</v>
      </c>
      <c r="S177" s="44"/>
      <c r="T177" s="46"/>
      <c r="U177" s="46" t="s">
        <v>83</v>
      </c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</row>
    <row r="178" spans="1:35" x14ac:dyDescent="0.2">
      <c r="A178" s="106" t="s">
        <v>76</v>
      </c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8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</row>
    <row r="179" spans="1:35" s="47" customFormat="1" ht="29.25" customHeight="1" x14ac:dyDescent="0.2">
      <c r="A179" s="48" t="s">
        <v>85</v>
      </c>
      <c r="B179" s="70" t="s">
        <v>84</v>
      </c>
      <c r="C179" s="71"/>
      <c r="D179" s="71"/>
      <c r="E179" s="71"/>
      <c r="F179" s="71"/>
      <c r="G179" s="71"/>
      <c r="H179" s="71"/>
      <c r="I179" s="72"/>
      <c r="J179" s="44">
        <v>5</v>
      </c>
      <c r="K179" s="44">
        <v>0</v>
      </c>
      <c r="L179" s="44">
        <v>0</v>
      </c>
      <c r="M179" s="44"/>
      <c r="N179" s="44">
        <v>3</v>
      </c>
      <c r="O179" s="45">
        <f>K179+L179+N179+M179</f>
        <v>3</v>
      </c>
      <c r="P179" s="45">
        <f>Q179-O179</f>
        <v>6</v>
      </c>
      <c r="Q179" s="45">
        <f>ROUND(PRODUCT(J179,25)/14,0)</f>
        <v>9</v>
      </c>
      <c r="R179" s="44"/>
      <c r="S179" s="44" t="s">
        <v>28</v>
      </c>
      <c r="T179" s="46"/>
      <c r="U179" s="46" t="s">
        <v>82</v>
      </c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</row>
    <row r="180" spans="1:35" ht="18" customHeight="1" x14ac:dyDescent="0.2">
      <c r="A180" s="48" t="s">
        <v>86</v>
      </c>
      <c r="B180" s="70" t="s">
        <v>96</v>
      </c>
      <c r="C180" s="71"/>
      <c r="D180" s="71"/>
      <c r="E180" s="71"/>
      <c r="F180" s="71"/>
      <c r="G180" s="71"/>
      <c r="H180" s="71"/>
      <c r="I180" s="72"/>
      <c r="J180" s="44">
        <v>5</v>
      </c>
      <c r="K180" s="44">
        <v>1</v>
      </c>
      <c r="L180" s="44">
        <v>2</v>
      </c>
      <c r="M180" s="44"/>
      <c r="N180" s="44">
        <v>0</v>
      </c>
      <c r="O180" s="45">
        <f>K180+L180+N180+M180</f>
        <v>3</v>
      </c>
      <c r="P180" s="45">
        <f>Q180-O180</f>
        <v>6</v>
      </c>
      <c r="Q180" s="45">
        <f>ROUND(PRODUCT(J180,25)/14,0)</f>
        <v>9</v>
      </c>
      <c r="R180" s="44" t="s">
        <v>31</v>
      </c>
      <c r="S180" s="44"/>
      <c r="T180" s="46"/>
      <c r="U180" s="46" t="s">
        <v>83</v>
      </c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</row>
    <row r="181" spans="1:35" x14ac:dyDescent="0.2">
      <c r="A181" s="109" t="s">
        <v>77</v>
      </c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1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</row>
    <row r="182" spans="1:35" ht="18.75" customHeight="1" x14ac:dyDescent="0.2">
      <c r="A182" s="48"/>
      <c r="B182" s="70" t="s">
        <v>71</v>
      </c>
      <c r="C182" s="71"/>
      <c r="D182" s="71"/>
      <c r="E182" s="71"/>
      <c r="F182" s="71"/>
      <c r="G182" s="71"/>
      <c r="H182" s="71"/>
      <c r="I182" s="72"/>
      <c r="J182" s="44">
        <v>5</v>
      </c>
      <c r="K182" s="44"/>
      <c r="L182" s="44"/>
      <c r="M182" s="44"/>
      <c r="N182" s="44"/>
      <c r="O182" s="45"/>
      <c r="P182" s="45"/>
      <c r="Q182" s="45"/>
      <c r="R182" s="44"/>
      <c r="S182" s="44"/>
      <c r="T182" s="46"/>
      <c r="U182" s="49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</row>
    <row r="183" spans="1:35" ht="20.25" customHeight="1" x14ac:dyDescent="0.2">
      <c r="A183" s="112" t="s">
        <v>72</v>
      </c>
      <c r="B183" s="113"/>
      <c r="C183" s="113"/>
      <c r="D183" s="113"/>
      <c r="E183" s="113"/>
      <c r="F183" s="113"/>
      <c r="G183" s="113"/>
      <c r="H183" s="113"/>
      <c r="I183" s="114"/>
      <c r="J183" s="50">
        <f>SUM(J173:J174,J176:J177,J179:J180,J182)</f>
        <v>35</v>
      </c>
      <c r="K183" s="50">
        <f t="shared" ref="K183:Q183" si="50">SUM(K173:K174,K176:K177,K179:K180,K182)</f>
        <v>8</v>
      </c>
      <c r="L183" s="50">
        <f>SUM(L173:L174,L176:L177,L179:L180,L182)</f>
        <v>7</v>
      </c>
      <c r="M183" s="50">
        <f>SUM(M173:M174,M176:M177,M179:M180,M182)</f>
        <v>2</v>
      </c>
      <c r="N183" s="50">
        <f t="shared" si="50"/>
        <v>3</v>
      </c>
      <c r="O183" s="50">
        <f t="shared" si="50"/>
        <v>20</v>
      </c>
      <c r="P183" s="50">
        <f t="shared" si="50"/>
        <v>34</v>
      </c>
      <c r="Q183" s="50">
        <f t="shared" si="50"/>
        <v>54</v>
      </c>
      <c r="R183" s="52">
        <f>COUNTIF(R173:R174,"E")+COUNTIF(R176:R177,"E")+COUNTIF(R179:R180,"E")+COUNTIF(R182,"E")</f>
        <v>5</v>
      </c>
      <c r="S183" s="52">
        <f>COUNTIF(S173:S174,"C")+COUNTIF(S176:S177,"C")+COUNTIF(S179:S180,"C")+COUNTIF(S182,"C")</f>
        <v>1</v>
      </c>
      <c r="T183" s="52">
        <f>COUNTIF(T173:T174,"VP")+COUNTIF(T176:T177,"VP")+COUNTIF(T179:T180,"VP")+COUNTIF(T182,"VP")</f>
        <v>0</v>
      </c>
      <c r="U183" s="51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</row>
    <row r="184" spans="1:35" ht="20.25" customHeight="1" x14ac:dyDescent="0.2">
      <c r="A184" s="115" t="s">
        <v>47</v>
      </c>
      <c r="B184" s="116"/>
      <c r="C184" s="116"/>
      <c r="D184" s="116"/>
      <c r="E184" s="116"/>
      <c r="F184" s="116"/>
      <c r="G184" s="116"/>
      <c r="H184" s="116"/>
      <c r="I184" s="116"/>
      <c r="J184" s="117"/>
      <c r="K184" s="50">
        <f>SUM(K173:K174,K176:K177,K179:K180)*14</f>
        <v>112</v>
      </c>
      <c r="L184" s="50">
        <f t="shared" ref="L184:Q184" si="51">SUM(L173:L174,L176:L177,L179:L180)*14</f>
        <v>98</v>
      </c>
      <c r="M184" s="50">
        <f t="shared" si="51"/>
        <v>28</v>
      </c>
      <c r="N184" s="50">
        <f t="shared" si="51"/>
        <v>42</v>
      </c>
      <c r="O184" s="50">
        <f t="shared" si="51"/>
        <v>280</v>
      </c>
      <c r="P184" s="50">
        <f t="shared" si="51"/>
        <v>476</v>
      </c>
      <c r="Q184" s="50">
        <f t="shared" si="51"/>
        <v>756</v>
      </c>
      <c r="R184" s="121"/>
      <c r="S184" s="122"/>
      <c r="T184" s="122"/>
      <c r="U184" s="123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</row>
    <row r="185" spans="1:35" ht="20.25" customHeight="1" x14ac:dyDescent="0.2">
      <c r="A185" s="118"/>
      <c r="B185" s="119"/>
      <c r="C185" s="119"/>
      <c r="D185" s="119"/>
      <c r="E185" s="119"/>
      <c r="F185" s="119"/>
      <c r="G185" s="119"/>
      <c r="H185" s="119"/>
      <c r="I185" s="119"/>
      <c r="J185" s="120"/>
      <c r="K185" s="127">
        <f>SUM(K184:N184)</f>
        <v>280</v>
      </c>
      <c r="L185" s="128"/>
      <c r="M185" s="128"/>
      <c r="N185" s="129"/>
      <c r="O185" s="127">
        <f>SUM(O184:P184)</f>
        <v>756</v>
      </c>
      <c r="P185" s="128"/>
      <c r="Q185" s="129"/>
      <c r="R185" s="124"/>
      <c r="S185" s="125"/>
      <c r="T185" s="125"/>
      <c r="U185" s="126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</row>
    <row r="186" spans="1:35" x14ac:dyDescent="0.2"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</row>
    <row r="187" spans="1:35" x14ac:dyDescent="0.2">
      <c r="A187" s="73" t="s">
        <v>87</v>
      </c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</row>
    <row r="188" spans="1:35" x14ac:dyDescent="0.2">
      <c r="A188" s="73" t="s">
        <v>88</v>
      </c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</row>
    <row r="189" spans="1:35" x14ac:dyDescent="0.2">
      <c r="A189" s="73" t="s">
        <v>89</v>
      </c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</row>
    <row r="190" spans="1:35" x14ac:dyDescent="0.2"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</row>
    <row r="191" spans="1:35" x14ac:dyDescent="0.2"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</row>
    <row r="192" spans="1:35" x14ac:dyDescent="0.2"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</row>
    <row r="193" spans="22:35" x14ac:dyDescent="0.2"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</row>
    <row r="194" spans="22:35" x14ac:dyDescent="0.2"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</row>
  </sheetData>
  <sheetProtection formatCells="0" formatRows="0" insertRows="0"/>
  <mergeCells count="270">
    <mergeCell ref="B69:I69"/>
    <mergeCell ref="A72:U72"/>
    <mergeCell ref="V164:Y164"/>
    <mergeCell ref="V4:Y4"/>
    <mergeCell ref="V5:Y5"/>
    <mergeCell ref="V3:Y3"/>
    <mergeCell ref="V6:Y6"/>
    <mergeCell ref="V28:W28"/>
    <mergeCell ref="V29:W29"/>
    <mergeCell ref="V44:X44"/>
    <mergeCell ref="V55:X55"/>
    <mergeCell ref="V70:X70"/>
    <mergeCell ref="V9:AA12"/>
    <mergeCell ref="V15:AA17"/>
    <mergeCell ref="V20:AB23"/>
    <mergeCell ref="AB16:AC16"/>
    <mergeCell ref="R102:T102"/>
    <mergeCell ref="B110:I110"/>
    <mergeCell ref="V80:X80"/>
    <mergeCell ref="B106:I106"/>
    <mergeCell ref="B107:I107"/>
    <mergeCell ref="B108:I108"/>
    <mergeCell ref="B105:I105"/>
    <mergeCell ref="A104:U104"/>
    <mergeCell ref="U102:U103"/>
    <mergeCell ref="B109:I109"/>
    <mergeCell ref="A101:U101"/>
    <mergeCell ref="A11:K11"/>
    <mergeCell ref="A12:K12"/>
    <mergeCell ref="A100:U100"/>
    <mergeCell ref="K102:N102"/>
    <mergeCell ref="O102:Q102"/>
    <mergeCell ref="B67:I67"/>
    <mergeCell ref="A63:U63"/>
    <mergeCell ref="J64:J65"/>
    <mergeCell ref="K64:N64"/>
    <mergeCell ref="A102:A103"/>
    <mergeCell ref="B102:I103"/>
    <mergeCell ref="J102:J103"/>
    <mergeCell ref="O64:Q64"/>
    <mergeCell ref="R64:T64"/>
    <mergeCell ref="U64:U65"/>
    <mergeCell ref="B75:I75"/>
    <mergeCell ref="B76:I76"/>
    <mergeCell ref="B73:I74"/>
    <mergeCell ref="B77:I77"/>
    <mergeCell ref="B78:I78"/>
    <mergeCell ref="A64:A65"/>
    <mergeCell ref="B64:I65"/>
    <mergeCell ref="A83:U83"/>
    <mergeCell ref="A2:K2"/>
    <mergeCell ref="A6:K6"/>
    <mergeCell ref="P5:R5"/>
    <mergeCell ref="P6:R6"/>
    <mergeCell ref="P3:R3"/>
    <mergeCell ref="P4:R4"/>
    <mergeCell ref="N4:O4"/>
    <mergeCell ref="A10:K10"/>
    <mergeCell ref="N6:O6"/>
    <mergeCell ref="A7:K7"/>
    <mergeCell ref="A8:K8"/>
    <mergeCell ref="A9:K9"/>
    <mergeCell ref="J73:J74"/>
    <mergeCell ref="K73:N73"/>
    <mergeCell ref="O73:Q73"/>
    <mergeCell ref="R73:T73"/>
    <mergeCell ref="A73:A74"/>
    <mergeCell ref="A48:U48"/>
    <mergeCell ref="B42:I42"/>
    <mergeCell ref="B40:I40"/>
    <mergeCell ref="B68:I68"/>
    <mergeCell ref="S3:U3"/>
    <mergeCell ref="S4:U4"/>
    <mergeCell ref="S5:U5"/>
    <mergeCell ref="N15:U15"/>
    <mergeCell ref="S6:U6"/>
    <mergeCell ref="N8:U11"/>
    <mergeCell ref="A15:K15"/>
    <mergeCell ref="J38:J39"/>
    <mergeCell ref="A37:U37"/>
    <mergeCell ref="N25:U31"/>
    <mergeCell ref="A20:K23"/>
    <mergeCell ref="N21:U23"/>
    <mergeCell ref="I26:K26"/>
    <mergeCell ref="B26:C26"/>
    <mergeCell ref="H26:H27"/>
    <mergeCell ref="A25:G25"/>
    <mergeCell ref="G26:G27"/>
    <mergeCell ref="A14:K14"/>
    <mergeCell ref="A16:K16"/>
    <mergeCell ref="N17:U17"/>
    <mergeCell ref="A38:A39"/>
    <mergeCell ref="N18:U18"/>
    <mergeCell ref="N13:U13"/>
    <mergeCell ref="N16:U16"/>
    <mergeCell ref="O84:Q84"/>
    <mergeCell ref="A84:A85"/>
    <mergeCell ref="B80:I80"/>
    <mergeCell ref="B66:I66"/>
    <mergeCell ref="U73:U74"/>
    <mergeCell ref="B70:I70"/>
    <mergeCell ref="B55:I55"/>
    <mergeCell ref="B53:I53"/>
    <mergeCell ref="B54:I54"/>
    <mergeCell ref="B41:I41"/>
    <mergeCell ref="B44:I44"/>
    <mergeCell ref="B51:I51"/>
    <mergeCell ref="B52:I52"/>
    <mergeCell ref="B43:I43"/>
    <mergeCell ref="B49:I50"/>
    <mergeCell ref="B38:I39"/>
    <mergeCell ref="B79:I79"/>
    <mergeCell ref="A1:K1"/>
    <mergeCell ref="A3:K3"/>
    <mergeCell ref="K49:N49"/>
    <mergeCell ref="N19:U19"/>
    <mergeCell ref="N1:U1"/>
    <mergeCell ref="N14:U14"/>
    <mergeCell ref="A4:K5"/>
    <mergeCell ref="A35:U35"/>
    <mergeCell ref="A19:K19"/>
    <mergeCell ref="A17:K17"/>
    <mergeCell ref="N3:O3"/>
    <mergeCell ref="N5:O5"/>
    <mergeCell ref="D26:F26"/>
    <mergeCell ref="A18:K18"/>
    <mergeCell ref="O49:Q49"/>
    <mergeCell ref="R49:T49"/>
    <mergeCell ref="U38:U39"/>
    <mergeCell ref="O38:Q38"/>
    <mergeCell ref="K38:N38"/>
    <mergeCell ref="U49:U50"/>
    <mergeCell ref="R38:T38"/>
    <mergeCell ref="J49:J50"/>
    <mergeCell ref="A49:A50"/>
    <mergeCell ref="A13:K13"/>
    <mergeCell ref="B91:I91"/>
    <mergeCell ref="R84:T84"/>
    <mergeCell ref="K94:N94"/>
    <mergeCell ref="O94:Q94"/>
    <mergeCell ref="R93:U94"/>
    <mergeCell ref="A92:I92"/>
    <mergeCell ref="A93:J94"/>
    <mergeCell ref="U84:U85"/>
    <mergeCell ref="B84:I85"/>
    <mergeCell ref="A89:U89"/>
    <mergeCell ref="B90:I90"/>
    <mergeCell ref="B88:I88"/>
    <mergeCell ref="B87:I87"/>
    <mergeCell ref="A86:U86"/>
    <mergeCell ref="J84:J85"/>
    <mergeCell ref="K84:N84"/>
    <mergeCell ref="B111:I111"/>
    <mergeCell ref="B113:I113"/>
    <mergeCell ref="A129:U129"/>
    <mergeCell ref="A132:U132"/>
    <mergeCell ref="B133:I133"/>
    <mergeCell ref="B116:I116"/>
    <mergeCell ref="B112:I112"/>
    <mergeCell ref="A130:A131"/>
    <mergeCell ref="B130:I131"/>
    <mergeCell ref="A115:U115"/>
    <mergeCell ref="J130:J131"/>
    <mergeCell ref="K130:N130"/>
    <mergeCell ref="B114:I114"/>
    <mergeCell ref="A119:J120"/>
    <mergeCell ref="R119:U120"/>
    <mergeCell ref="O120:Q120"/>
    <mergeCell ref="K120:N120"/>
    <mergeCell ref="A118:I118"/>
    <mergeCell ref="B117:I117"/>
    <mergeCell ref="U130:U131"/>
    <mergeCell ref="O130:Q130"/>
    <mergeCell ref="B139:I139"/>
    <mergeCell ref="B140:I140"/>
    <mergeCell ref="A141:I141"/>
    <mergeCell ref="R130:T130"/>
    <mergeCell ref="B137:I137"/>
    <mergeCell ref="B138:I138"/>
    <mergeCell ref="B134:I134"/>
    <mergeCell ref="A135:U135"/>
    <mergeCell ref="B136:I136"/>
    <mergeCell ref="A142:J143"/>
    <mergeCell ref="A146:A147"/>
    <mergeCell ref="A145:U145"/>
    <mergeCell ref="J146:J147"/>
    <mergeCell ref="K146:N146"/>
    <mergeCell ref="O146:Q146"/>
    <mergeCell ref="R142:U143"/>
    <mergeCell ref="K143:N143"/>
    <mergeCell ref="O143:Q143"/>
    <mergeCell ref="B146:I147"/>
    <mergeCell ref="R146:T146"/>
    <mergeCell ref="U146:U147"/>
    <mergeCell ref="A160:B160"/>
    <mergeCell ref="A157:J158"/>
    <mergeCell ref="R157:U158"/>
    <mergeCell ref="B155:I155"/>
    <mergeCell ref="B154:I154"/>
    <mergeCell ref="A156:I156"/>
    <mergeCell ref="K158:N158"/>
    <mergeCell ref="O158:Q158"/>
    <mergeCell ref="A148:U148"/>
    <mergeCell ref="B149:I149"/>
    <mergeCell ref="B150:I150"/>
    <mergeCell ref="B152:I152"/>
    <mergeCell ref="A153:U153"/>
    <mergeCell ref="B151:I151"/>
    <mergeCell ref="A161:A162"/>
    <mergeCell ref="B161:G162"/>
    <mergeCell ref="H161:I162"/>
    <mergeCell ref="J161:P161"/>
    <mergeCell ref="Q161:R162"/>
    <mergeCell ref="S161:U161"/>
    <mergeCell ref="J162:K162"/>
    <mergeCell ref="L162:N162"/>
    <mergeCell ref="O162:P162"/>
    <mergeCell ref="T162:U162"/>
    <mergeCell ref="V169:AI170"/>
    <mergeCell ref="V171:AB194"/>
    <mergeCell ref="AC171:AI194"/>
    <mergeCell ref="A175:U175"/>
    <mergeCell ref="B176:I176"/>
    <mergeCell ref="A178:U178"/>
    <mergeCell ref="B180:I180"/>
    <mergeCell ref="A181:U181"/>
    <mergeCell ref="B182:I182"/>
    <mergeCell ref="A183:I183"/>
    <mergeCell ref="A184:J185"/>
    <mergeCell ref="R184:U185"/>
    <mergeCell ref="K185:N185"/>
    <mergeCell ref="O185:Q185"/>
    <mergeCell ref="B177:I177"/>
    <mergeCell ref="A169:U169"/>
    <mergeCell ref="B174:I174"/>
    <mergeCell ref="A170:A171"/>
    <mergeCell ref="B170:I171"/>
    <mergeCell ref="J170:J171"/>
    <mergeCell ref="K170:N170"/>
    <mergeCell ref="O170:Q170"/>
    <mergeCell ref="R170:T170"/>
    <mergeCell ref="U170:U171"/>
    <mergeCell ref="B163:G163"/>
    <mergeCell ref="H163:I163"/>
    <mergeCell ref="J163:K163"/>
    <mergeCell ref="L163:N163"/>
    <mergeCell ref="O163:P163"/>
    <mergeCell ref="Q163:R163"/>
    <mergeCell ref="T163:U163"/>
    <mergeCell ref="B164:G164"/>
    <mergeCell ref="H164:I164"/>
    <mergeCell ref="J164:K164"/>
    <mergeCell ref="L164:N164"/>
    <mergeCell ref="O164:P164"/>
    <mergeCell ref="Q164:R164"/>
    <mergeCell ref="T164:U164"/>
    <mergeCell ref="B173:I173"/>
    <mergeCell ref="B179:I179"/>
    <mergeCell ref="A187:U187"/>
    <mergeCell ref="A188:U188"/>
    <mergeCell ref="A189:U189"/>
    <mergeCell ref="A165:G165"/>
    <mergeCell ref="H165:I165"/>
    <mergeCell ref="J165:K165"/>
    <mergeCell ref="L165:N165"/>
    <mergeCell ref="O165:P165"/>
    <mergeCell ref="Q165:R165"/>
    <mergeCell ref="T165:U165"/>
    <mergeCell ref="A167:U167"/>
    <mergeCell ref="A172:U172"/>
  </mergeCells>
  <phoneticPr fontId="6" type="noConversion"/>
  <conditionalFormatting sqref="V164 V3:V6 V28:V29">
    <cfRule type="cellIs" dxfId="23" priority="47" operator="equal">
      <formula>"E bine"</formula>
    </cfRule>
  </conditionalFormatting>
  <conditionalFormatting sqref="V164 V3:V6 V28:V29">
    <cfRule type="cellIs" dxfId="22" priority="46" operator="equal">
      <formula>"NU e bine"</formula>
    </cfRule>
  </conditionalFormatting>
  <conditionalFormatting sqref="V3:W6 V28:W29">
    <cfRule type="cellIs" dxfId="21" priority="39" operator="equal">
      <formula>"Suma trebuie să fie 52"</formula>
    </cfRule>
    <cfRule type="cellIs" dxfId="20" priority="40" operator="equal">
      <formula>"Corect"</formula>
    </cfRule>
    <cfRule type="cellIs" dxfId="19" priority="41" operator="equal">
      <formula>SUM($B$28:$J$28)</formula>
    </cfRule>
    <cfRule type="cellIs" dxfId="18" priority="42" operator="lessThan">
      <formula>"(SUM(B28:K28)=52"</formula>
    </cfRule>
    <cfRule type="cellIs" dxfId="17" priority="43" operator="equal">
      <formula>52</formula>
    </cfRule>
    <cfRule type="cellIs" dxfId="16" priority="44" operator="equal">
      <formula>$K$28</formula>
    </cfRule>
    <cfRule type="cellIs" dxfId="15" priority="45" operator="equal">
      <formula>$B$28:$K$28=52</formula>
    </cfRule>
  </conditionalFormatting>
  <conditionalFormatting sqref="V164:W164 V3:W6 V28:W29">
    <cfRule type="cellIs" dxfId="14" priority="37" operator="equal">
      <formula>"Suma trebuie să fie 52"</formula>
    </cfRule>
    <cfRule type="cellIs" dxfId="13" priority="38" operator="equal">
      <formula>"Corect"</formula>
    </cfRule>
  </conditionalFormatting>
  <conditionalFormatting sqref="V3:Y6">
    <cfRule type="cellIs" dxfId="12" priority="36" operator="equal">
      <formula>"Trebuie alocate cel puțin 20 de ore pe săptămână"</formula>
    </cfRule>
  </conditionalFormatting>
  <conditionalFormatting sqref="V164:Y164 V28:W29">
    <cfRule type="cellIs" dxfId="11" priority="24" operator="equal">
      <formula>"Corect"</formula>
    </cfRule>
  </conditionalFormatting>
  <conditionalFormatting sqref="V28:W28">
    <cfRule type="cellIs" dxfId="10" priority="23" operator="equal">
      <formula>"Correct"</formula>
    </cfRule>
  </conditionalFormatting>
  <conditionalFormatting sqref="V44:X46 V55:X55 V70:X70 V80:X80">
    <cfRule type="cellIs" dxfId="9" priority="20" operator="equal">
      <formula>"E trebuie să fie cel puțin egal cu C+VP"</formula>
    </cfRule>
    <cfRule type="cellIs" dxfId="8" priority="21" operator="equal">
      <formula>"Corect"</formula>
    </cfRule>
  </conditionalFormatting>
  <conditionalFormatting sqref="V164:W164">
    <cfRule type="cellIs" dxfId="7" priority="2" operator="equal">
      <formula>"Nu corespunde cu tabelul de opționale"</formula>
    </cfRule>
    <cfRule type="cellIs" dxfId="6" priority="3" operator="equal">
      <formula>"Suma trebuie să fie 52"</formula>
    </cfRule>
    <cfRule type="cellIs" dxfId="5" priority="4" operator="equal">
      <formula>"Corect"</formula>
    </cfRule>
    <cfRule type="cellIs" dxfId="4" priority="5" operator="equal">
      <formula>SUM($B$28:$J$28)</formula>
    </cfRule>
    <cfRule type="cellIs" dxfId="3" priority="6" operator="lessThan">
      <formula>"(SUM(B28:K28)=52"</formula>
    </cfRule>
    <cfRule type="cellIs" dxfId="2" priority="7" operator="equal">
      <formula>52</formula>
    </cfRule>
    <cfRule type="cellIs" dxfId="1" priority="8" operator="equal">
      <formula>$K$28</formula>
    </cfRule>
    <cfRule type="cellIs" dxfId="0" priority="9" operator="equal">
      <formula>$B$28:$K$28=52</formula>
    </cfRule>
  </conditionalFormatting>
  <dataValidations count="6">
    <dataValidation type="list" allowBlank="1" showInputMessage="1" showErrorMessage="1" sqref="S176:S177 S182 S173:S174 S179:S180 S90:S91 S66:S69 S40:S43 S51:S54 S75:S79 S87:S88">
      <formula1>$S$39</formula1>
    </dataValidation>
    <dataValidation type="list" allowBlank="1" showInputMessage="1" showErrorMessage="1" sqref="R176:R177 R182 R173:R174 R179:R180 R90:R91 R66:R69 R40:R43 R51:R54 R75:R79 R87:R88">
      <formula1>$R$39</formula1>
    </dataValidation>
    <dataValidation type="list" allowBlank="1" showInputMessage="1" showErrorMessage="1" sqref="T176:T177 T182 T173:T174 T179:T180 T90:T91 T40:T43 T51:T54 T66:T69 T75:T79 T87:T88">
      <formula1>$T$39</formula1>
    </dataValidation>
    <dataValidation type="list" allowBlank="1" showInputMessage="1" showErrorMessage="1" sqref="U105:U113 U90:U91 U66:U69 U40:U43 U51:U54 U136:U139 U149:U151 U154 U116 U75:U79 U87:U88 U133">
      <formula1>$P$36:$T$36</formula1>
    </dataValidation>
    <dataValidation type="list" allowBlank="1" showInputMessage="1" showErrorMessage="1" sqref="U134 U152 U114">
      <formula1>$Q$36:$T$36</formula1>
    </dataValidation>
    <dataValidation type="list" allowBlank="1" showInputMessage="1" showErrorMessage="1" sqref="B105:I113 B133:I133 B116:I116 B136:I139 B149:I151 B154:I154">
      <formula1>$B$38:$B$95</formula1>
    </dataValidation>
  </dataValidations>
  <pageMargins left="0.25" right="0.25" top="0.75" bottom="0.75" header="0.3" footer="0.3"/>
  <pageSetup paperSize="9" orientation="landscape" blackAndWhite="1" r:id="rId1"/>
  <headerFooter>
    <oddHeader>&amp;C
&amp;R&amp;P</oddHeader>
    <oddFooter xml:space="preserve">&amp;LRECTOR,
Acad.Prof.univ.dr. Ioan Aurel POP&amp;CDECAN,
Prof.univ.dr. Adrian Olimpiu PETRUȘEL&amp;R                                           DIRECTOR DE DEPARTAMENT,
Prof.univ.dr. Octavian AGRATINI </oddFooter>
  </headerFooter>
  <ignoredErrors>
    <ignoredError sqref="R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436C8AF41D44994AA64A6708AB5AD" ma:contentTypeVersion="0" ma:contentTypeDescription="Create a new document." ma:contentTypeScope="" ma:versionID="1e145a0201785cf80eb881b8ccf1c55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BCB94AF-0F4D-416D-A901-7238C784D2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54E7A1D-D733-4215-B5BA-4564572BE7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47E3DA-5698-49A4-92EA-B6C4521E51D0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Liliana</cp:lastModifiedBy>
  <cp:lastPrinted>2018-03-14T11:15:04Z</cp:lastPrinted>
  <dcterms:created xsi:type="dcterms:W3CDTF">2013-06-27T08:19:59Z</dcterms:created>
  <dcterms:modified xsi:type="dcterms:W3CDTF">2018-03-14T11:15:48Z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0x010100DBA436C8AF41D44994AA64A6708AB5AD</vt:lpwstr>
  </property>
</Properties>
</file>