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19420" windowHeight="93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T127" i="1"/>
  <c r="S127"/>
  <c r="R127"/>
  <c r="N127"/>
  <c r="M127"/>
  <c r="L127"/>
  <c r="K127"/>
  <c r="J127"/>
  <c r="T126"/>
  <c r="S126"/>
  <c r="R126"/>
  <c r="N126"/>
  <c r="M126"/>
  <c r="L126"/>
  <c r="K126"/>
  <c r="J126"/>
  <c r="T125"/>
  <c r="S125"/>
  <c r="R125"/>
  <c r="N125"/>
  <c r="M125"/>
  <c r="L125"/>
  <c r="K125"/>
  <c r="J125"/>
  <c r="T124"/>
  <c r="S124"/>
  <c r="R124"/>
  <c r="O124"/>
  <c r="N124"/>
  <c r="M124"/>
  <c r="L124"/>
  <c r="K124"/>
  <c r="J124"/>
  <c r="T110"/>
  <c r="S110"/>
  <c r="R110"/>
  <c r="N110"/>
  <c r="M110"/>
  <c r="L110"/>
  <c r="K110"/>
  <c r="J110"/>
  <c r="T109"/>
  <c r="S109"/>
  <c r="R109"/>
  <c r="N109"/>
  <c r="M109"/>
  <c r="L109"/>
  <c r="K109"/>
  <c r="J109"/>
  <c r="T108"/>
  <c r="S108"/>
  <c r="R108"/>
  <c r="N108"/>
  <c r="M108"/>
  <c r="L108"/>
  <c r="K108"/>
  <c r="J108"/>
  <c r="T107"/>
  <c r="S107"/>
  <c r="R107"/>
  <c r="N107"/>
  <c r="M107"/>
  <c r="L107"/>
  <c r="K107"/>
  <c r="J107"/>
  <c r="T106"/>
  <c r="S106"/>
  <c r="R106"/>
  <c r="N106"/>
  <c r="M106"/>
  <c r="L106"/>
  <c r="K106"/>
  <c r="J106"/>
  <c r="T105"/>
  <c r="S105"/>
  <c r="R105"/>
  <c r="N105"/>
  <c r="M105"/>
  <c r="L105"/>
  <c r="K105"/>
  <c r="J105"/>
  <c r="T104"/>
  <c r="S104"/>
  <c r="R104"/>
  <c r="N104"/>
  <c r="M104"/>
  <c r="L104"/>
  <c r="K104"/>
  <c r="J104"/>
  <c r="K128" l="1"/>
  <c r="S128"/>
  <c r="L128"/>
  <c r="T128"/>
  <c r="R128"/>
  <c r="M128"/>
  <c r="J128"/>
  <c r="N128"/>
  <c r="M111"/>
  <c r="N111"/>
  <c r="L111"/>
  <c r="Q83"/>
  <c r="O83"/>
  <c r="Q82"/>
  <c r="O82"/>
  <c r="Q81"/>
  <c r="O81"/>
  <c r="Q79"/>
  <c r="O79"/>
  <c r="Q78"/>
  <c r="O78"/>
  <c r="Q77"/>
  <c r="O77"/>
  <c r="Q75"/>
  <c r="O75"/>
  <c r="Q74"/>
  <c r="O74"/>
  <c r="Q73"/>
  <c r="O73"/>
  <c r="Q72"/>
  <c r="O72"/>
  <c r="Q66"/>
  <c r="O66"/>
  <c r="Q65"/>
  <c r="O65"/>
  <c r="Q64"/>
  <c r="O64"/>
  <c r="Q59"/>
  <c r="O59"/>
  <c r="Q58"/>
  <c r="Q126" s="1"/>
  <c r="O58"/>
  <c r="O126" s="1"/>
  <c r="Q57"/>
  <c r="Q127" s="1"/>
  <c r="O57"/>
  <c r="O127" s="1"/>
  <c r="O56"/>
  <c r="Q51"/>
  <c r="Q125" s="1"/>
  <c r="O51"/>
  <c r="O125" s="1"/>
  <c r="O128" s="1"/>
  <c r="Q50"/>
  <c r="Q110" s="1"/>
  <c r="O50"/>
  <c r="O110" s="1"/>
  <c r="Q49"/>
  <c r="O49"/>
  <c r="O109" s="1"/>
  <c r="Q48"/>
  <c r="Q108" s="1"/>
  <c r="O48"/>
  <c r="O108" s="1"/>
  <c r="Q43"/>
  <c r="Q42"/>
  <c r="O42"/>
  <c r="O107" s="1"/>
  <c r="Q41"/>
  <c r="Q106" s="1"/>
  <c r="O41"/>
  <c r="O106" s="1"/>
  <c r="Q40"/>
  <c r="Q105" s="1"/>
  <c r="O40"/>
  <c r="O105" s="1"/>
  <c r="Q39"/>
  <c r="Q104" s="1"/>
  <c r="O39"/>
  <c r="O104" s="1"/>
  <c r="P43" l="1"/>
  <c r="P124" s="1"/>
  <c r="Q124"/>
  <c r="Q128" s="1"/>
  <c r="P73"/>
  <c r="P83"/>
  <c r="P42"/>
  <c r="P107" s="1"/>
  <c r="Q107"/>
  <c r="P59"/>
  <c r="P72"/>
  <c r="P49"/>
  <c r="P109" s="1"/>
  <c r="Q109"/>
  <c r="P40"/>
  <c r="P105" s="1"/>
  <c r="P57"/>
  <c r="P127" s="1"/>
  <c r="P65"/>
  <c r="P74"/>
  <c r="P79"/>
  <c r="P75"/>
  <c r="P81"/>
  <c r="P41"/>
  <c r="P106" s="1"/>
  <c r="P58"/>
  <c r="P126" s="1"/>
  <c r="P66"/>
  <c r="P50"/>
  <c r="P110" s="1"/>
  <c r="P51"/>
  <c r="P125" s="1"/>
  <c r="P77"/>
  <c r="P39"/>
  <c r="P104" s="1"/>
  <c r="P48"/>
  <c r="P108" s="1"/>
  <c r="P82"/>
  <c r="P78"/>
  <c r="P64"/>
  <c r="P128" l="1"/>
  <c r="A104"/>
  <c r="A105"/>
  <c r="A106"/>
  <c r="A107"/>
  <c r="A108"/>
  <c r="A109"/>
  <c r="M131" l="1"/>
  <c r="O87" l="1"/>
  <c r="O86"/>
  <c r="O85"/>
  <c r="M183" l="1"/>
  <c r="M182"/>
  <c r="M150"/>
  <c r="L147"/>
  <c r="L146"/>
  <c r="M133"/>
  <c r="L132"/>
  <c r="L131"/>
  <c r="L130"/>
  <c r="M113"/>
  <c r="M89"/>
  <c r="M88"/>
  <c r="M67"/>
  <c r="M60"/>
  <c r="M52"/>
  <c r="M44"/>
  <c r="L148" l="1"/>
  <c r="M114"/>
  <c r="M151"/>
  <c r="U67" l="1"/>
  <c r="J88" l="1"/>
  <c r="U60" l="1"/>
  <c r="U52" l="1"/>
  <c r="U44"/>
  <c r="N183" l="1"/>
  <c r="L183"/>
  <c r="K183"/>
  <c r="T182"/>
  <c r="S182"/>
  <c r="R182"/>
  <c r="N182"/>
  <c r="L182"/>
  <c r="K182"/>
  <c r="J182"/>
  <c r="Q178"/>
  <c r="O178"/>
  <c r="Q172"/>
  <c r="O172"/>
  <c r="Q176"/>
  <c r="O176"/>
  <c r="Q179"/>
  <c r="O179"/>
  <c r="Q175"/>
  <c r="O175"/>
  <c r="Q173"/>
  <c r="O173"/>
  <c r="P176" l="1"/>
  <c r="O182"/>
  <c r="Q182"/>
  <c r="O183"/>
  <c r="Q183"/>
  <c r="K184"/>
  <c r="P178"/>
  <c r="P172"/>
  <c r="P179"/>
  <c r="P173"/>
  <c r="P175"/>
  <c r="P183" l="1"/>
  <c r="O184" s="1"/>
  <c r="P182"/>
  <c r="N89" l="1"/>
  <c r="L89"/>
  <c r="K89"/>
  <c r="T88"/>
  <c r="S88"/>
  <c r="R88"/>
  <c r="N88"/>
  <c r="L88"/>
  <c r="K88"/>
  <c r="Q87"/>
  <c r="Q86"/>
  <c r="Q85"/>
  <c r="P86" l="1"/>
  <c r="P87"/>
  <c r="T150"/>
  <c r="S150"/>
  <c r="R150"/>
  <c r="Q150"/>
  <c r="P150"/>
  <c r="O150"/>
  <c r="N150"/>
  <c r="L150"/>
  <c r="K150"/>
  <c r="J150"/>
  <c r="A150"/>
  <c r="T147"/>
  <c r="R147"/>
  <c r="O147"/>
  <c r="N147"/>
  <c r="M147"/>
  <c r="K147"/>
  <c r="J147"/>
  <c r="A147"/>
  <c r="T146"/>
  <c r="R146"/>
  <c r="M146"/>
  <c r="K146"/>
  <c r="J146"/>
  <c r="A146"/>
  <c r="T133"/>
  <c r="S133"/>
  <c r="R133"/>
  <c r="Q133"/>
  <c r="P133"/>
  <c r="O133"/>
  <c r="N133"/>
  <c r="L133"/>
  <c r="L134" s="1"/>
  <c r="K133"/>
  <c r="J133"/>
  <c r="A133"/>
  <c r="S132"/>
  <c r="R132"/>
  <c r="Q132"/>
  <c r="O132"/>
  <c r="N132"/>
  <c r="M132"/>
  <c r="K132"/>
  <c r="J132"/>
  <c r="A132"/>
  <c r="S131"/>
  <c r="R131"/>
  <c r="Q131"/>
  <c r="K131"/>
  <c r="J131"/>
  <c r="A131"/>
  <c r="S130"/>
  <c r="R130"/>
  <c r="Q130"/>
  <c r="P130"/>
  <c r="O130"/>
  <c r="N130"/>
  <c r="M130"/>
  <c r="K130"/>
  <c r="J130"/>
  <c r="A130"/>
  <c r="A127"/>
  <c r="A126"/>
  <c r="A125"/>
  <c r="A124"/>
  <c r="T113"/>
  <c r="S113"/>
  <c r="R113"/>
  <c r="N113"/>
  <c r="L113"/>
  <c r="K113"/>
  <c r="J113"/>
  <c r="A113"/>
  <c r="M148" l="1"/>
  <c r="M134"/>
  <c r="M152" l="1"/>
  <c r="M153"/>
  <c r="A110"/>
  <c r="M116" l="1"/>
  <c r="Q146"/>
  <c r="T151"/>
  <c r="S151"/>
  <c r="R151"/>
  <c r="N151"/>
  <c r="L151"/>
  <c r="K151"/>
  <c r="J151"/>
  <c r="T148"/>
  <c r="S148"/>
  <c r="K148"/>
  <c r="J148"/>
  <c r="T134"/>
  <c r="S134"/>
  <c r="R134"/>
  <c r="K134"/>
  <c r="J134"/>
  <c r="T114"/>
  <c r="S114"/>
  <c r="R114"/>
  <c r="N114"/>
  <c r="L114"/>
  <c r="K114"/>
  <c r="J114"/>
  <c r="P85"/>
  <c r="T67"/>
  <c r="S67"/>
  <c r="R67"/>
  <c r="N67"/>
  <c r="L67"/>
  <c r="K67"/>
  <c r="J67"/>
  <c r="T60"/>
  <c r="S60"/>
  <c r="R60"/>
  <c r="N60"/>
  <c r="L60"/>
  <c r="K60"/>
  <c r="J60"/>
  <c r="T52"/>
  <c r="S52"/>
  <c r="R52"/>
  <c r="N52"/>
  <c r="L52"/>
  <c r="K52"/>
  <c r="J52"/>
  <c r="Q147"/>
  <c r="K44"/>
  <c r="T44"/>
  <c r="S44"/>
  <c r="R44"/>
  <c r="N44"/>
  <c r="L44"/>
  <c r="J44"/>
  <c r="M115" l="1"/>
  <c r="R148"/>
  <c r="R152" s="1"/>
  <c r="S162"/>
  <c r="O60"/>
  <c r="N146"/>
  <c r="N148" s="1"/>
  <c r="N153" s="1"/>
  <c r="T162"/>
  <c r="T164" s="1"/>
  <c r="O88"/>
  <c r="O89"/>
  <c r="J163" s="1"/>
  <c r="Q88"/>
  <c r="Q89"/>
  <c r="J152"/>
  <c r="Q60"/>
  <c r="P147"/>
  <c r="K152"/>
  <c r="S152"/>
  <c r="K153"/>
  <c r="N131"/>
  <c r="O151"/>
  <c r="O113"/>
  <c r="O114" s="1"/>
  <c r="Q52"/>
  <c r="P131"/>
  <c r="Q151"/>
  <c r="Q113"/>
  <c r="Q114" s="1"/>
  <c r="P146"/>
  <c r="O44"/>
  <c r="K111"/>
  <c r="K115" s="1"/>
  <c r="S111"/>
  <c r="S115" s="1"/>
  <c r="L115"/>
  <c r="R111"/>
  <c r="R115" s="1"/>
  <c r="T111"/>
  <c r="T115" s="1"/>
  <c r="J111"/>
  <c r="J115" s="1"/>
  <c r="T152"/>
  <c r="O67"/>
  <c r="Q44"/>
  <c r="O52"/>
  <c r="P132"/>
  <c r="K90"/>
  <c r="Q67"/>
  <c r="L152"/>
  <c r="L153"/>
  <c r="S135" l="1"/>
  <c r="J135"/>
  <c r="T135"/>
  <c r="R135"/>
  <c r="M135"/>
  <c r="M136"/>
  <c r="N152"/>
  <c r="S164"/>
  <c r="U163" s="1"/>
  <c r="N115"/>
  <c r="U115"/>
  <c r="U152"/>
  <c r="N134"/>
  <c r="Q134"/>
  <c r="Q148"/>
  <c r="Q152" s="1"/>
  <c r="O146"/>
  <c r="O148" s="1"/>
  <c r="O152" s="1"/>
  <c r="J162"/>
  <c r="H163"/>
  <c r="P88"/>
  <c r="P89"/>
  <c r="K154"/>
  <c r="Q111"/>
  <c r="Q116" s="1"/>
  <c r="K116"/>
  <c r="P151"/>
  <c r="P148"/>
  <c r="O131"/>
  <c r="P134" s="1"/>
  <c r="P113"/>
  <c r="P114" s="1"/>
  <c r="L116"/>
  <c r="P52"/>
  <c r="P44"/>
  <c r="P67"/>
  <c r="P60"/>
  <c r="U135" l="1"/>
  <c r="L136"/>
  <c r="L135"/>
  <c r="U162"/>
  <c r="U164" s="1"/>
  <c r="N116"/>
  <c r="K117" s="1"/>
  <c r="O111"/>
  <c r="O115" s="1"/>
  <c r="Q153"/>
  <c r="O134"/>
  <c r="O90"/>
  <c r="L163"/>
  <c r="L162" s="1"/>
  <c r="L164" s="1"/>
  <c r="O153"/>
  <c r="Q115"/>
  <c r="H162"/>
  <c r="J164"/>
  <c r="P111"/>
  <c r="P116" s="1"/>
  <c r="P153"/>
  <c r="P152"/>
  <c r="Q136" l="1"/>
  <c r="K136"/>
  <c r="K135"/>
  <c r="Q135"/>
  <c r="O116"/>
  <c r="O117" s="1"/>
  <c r="O163"/>
  <c r="O154"/>
  <c r="O162"/>
  <c r="H164"/>
  <c r="Q163" s="1"/>
  <c r="P115"/>
  <c r="N135" l="1"/>
  <c r="N136"/>
  <c r="K137" s="1"/>
  <c r="P136"/>
  <c r="P135"/>
  <c r="O164"/>
  <c r="Q162"/>
  <c r="Q164" s="1"/>
  <c r="O135" l="1"/>
  <c r="O136"/>
  <c r="O137" s="1"/>
</calcChain>
</file>

<file path=xl/sharedStrings.xml><?xml version="1.0" encoding="utf-8"?>
<sst xmlns="http://schemas.openxmlformats.org/spreadsheetml/2006/main" count="434" uniqueCount="171">
  <si>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</si>
  <si>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</si>
  <si>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</si>
  <si>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</si>
  <si>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</si>
  <si>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</si>
  <si>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</si>
  <si>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</si>
  <si>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</si>
  <si>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</si>
  <si>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</si>
  <si>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</si>
  <si>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</si>
  <si>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</si>
  <si>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</si>
  <si>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</si>
  <si>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</si>
  <si>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</si>
  <si>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</si>
  <si>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</si>
  <si>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</si>
  <si>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</si>
  <si>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</si>
  <si>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</si>
  <si>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</si>
  <si>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</si>
  <si>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</si>
  <si>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</si>
  <si>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</si>
  <si>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</si>
  <si>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</si>
  <si>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</si>
  <si>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</si>
  <si>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</si>
  <si>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</si>
  <si>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</si>
  <si>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</si>
  <si>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</si>
  <si>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</si>
  <si>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</si>
  <si>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</si>
  <si>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</si>
  <si>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</si>
  <si>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</si>
  <si>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</si>
  <si>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</si>
  <si>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CURS OPȚIONAL 3 (An II, Semestrul 3)</t>
  </si>
  <si>
    <t>CURS OPȚIONAL 4 (An II, Semestrul 4)</t>
  </si>
  <si>
    <t>%</t>
  </si>
  <si>
    <t>TOTAL CREDITE / ORE PE SĂPTĂMÂNĂ / EVALUĂRI / PROCENT DIN TOTAL DISCIPLINE</t>
  </si>
  <si>
    <t xml:space="preserve">TOTAL ORE FIZICE / TOTAL ORE ALOCATE STUDIULUI </t>
  </si>
  <si>
    <t xml:space="preserve">Anexă la Planul de Învățământ specializarea / programul de studiu: </t>
  </si>
  <si>
    <t>DCOU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</si>
  <si>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</si>
  <si>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</si>
  <si>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</si>
  <si>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</si>
  <si>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</si>
  <si>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</si>
  <si>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</si>
  <si>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</si>
  <si>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</si>
  <si>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</si>
  <si>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t>120 de credite din care:</t>
  </si>
  <si>
    <t>Semestrele 1 - 3 (14 săptămâni)</t>
  </si>
  <si>
    <t>Semestrul 4 (12 săptămâni)</t>
  </si>
  <si>
    <t>Semestrul  4 (12 săptămâni)</t>
  </si>
  <si>
    <t>I. CERINŢE PENTRU OBŢINEREA DIPLOMEI DE MASTER</t>
  </si>
  <si>
    <t xml:space="preserve">Titlul absolventului: MASTER'S DEGREE </t>
  </si>
  <si>
    <t>DISCIPLINE DE SPECIALITATE (DS)</t>
  </si>
  <si>
    <t>DISCIPLINE COMPLEMENTARE (DC)</t>
  </si>
  <si>
    <t>XND 1101</t>
  </si>
  <si>
    <t>XND 1102</t>
  </si>
  <si>
    <t>XND 1203</t>
  </si>
  <si>
    <t>XND 1204</t>
  </si>
  <si>
    <t>Examen de absolvire: Nivelul II</t>
  </si>
  <si>
    <t xml:space="preserve">TOTAL CREDITE / ORE PE SĂPTĂMÂNĂ / EVALUĂRI </t>
  </si>
  <si>
    <t xml:space="preserve">PROGRAM DE STUDII PSIHOPEDAGOGICE </t>
  </si>
  <si>
    <t>An I, Semestrul 1</t>
  </si>
  <si>
    <t>An I, Semestrul 2</t>
  </si>
  <si>
    <t>An II, Semestrul 3</t>
  </si>
  <si>
    <t>An II, Semestrul 4</t>
  </si>
  <si>
    <t>MODUL PEDAGOCIC - Nivelul II: 30 de credite ECTS  + 5 credite ECTS aferente examenului de absolvire</t>
  </si>
  <si>
    <t>Psihopedagogia adolescenţilor, tinerilor şi adulţilor</t>
  </si>
  <si>
    <t>Proiectarea şi managementul programelor educaţionale</t>
  </si>
  <si>
    <t>DP</t>
  </si>
  <si>
    <t>DO</t>
  </si>
  <si>
    <t>XND 2305</t>
  </si>
  <si>
    <t>XND 2306</t>
  </si>
  <si>
    <t>DF – Discipline de extensie a pregătirii psihopedagogice fundamentale (obligatorii)</t>
  </si>
  <si>
    <t>DP – Discipline de extensie a pregătirii didactice şi practice de specialitate (obligatorii)</t>
  </si>
  <si>
    <t xml:space="preserve">DO - Discipline opţionale </t>
  </si>
  <si>
    <t>PLAN DE ÎNVĂŢĂMÂNT  valabil începând din anul universitar 2017-2018</t>
  </si>
  <si>
    <t>Didactica domeniului şi dezvoltăriI în didactica specialităţii (învăţământ liceal, postliceal, universitar)</t>
  </si>
  <si>
    <t>Disciplină opțională 1</t>
  </si>
  <si>
    <t>Disciplină opțională 2</t>
  </si>
  <si>
    <t>FACULTATEA DE MATEMATICĂ ȘI INFORMATICĂ</t>
  </si>
  <si>
    <t>Metodologia cercetării ştiinţifice de informatică</t>
  </si>
  <si>
    <t>L</t>
  </si>
  <si>
    <t>P</t>
  </si>
  <si>
    <r>
      <t xml:space="preserve">(*) </t>
    </r>
    <r>
      <rPr>
        <sz val="10"/>
        <color indexed="8"/>
        <rFont val="Times New Roman"/>
        <family val="1"/>
      </rPr>
      <t>Disciplina "Practică în specialitate" este planificată a se desfășura în semestrul 4 și are 20 credite.</t>
    </r>
  </si>
  <si>
    <t>(*)</t>
  </si>
  <si>
    <t>MME8050</t>
  </si>
  <si>
    <t>Domeniul: Informatica</t>
  </si>
  <si>
    <t>Specializarea/Programul de studiu: Programare bazată pe componente</t>
  </si>
  <si>
    <t xml:space="preserve">Limba de predare: engleză </t>
  </si>
  <si>
    <r>
      <t xml:space="preserve">Durata studiilor: </t>
    </r>
    <r>
      <rPr>
        <b/>
        <sz val="10"/>
        <color indexed="8"/>
        <rFont val="Times New Roman"/>
        <family val="1"/>
        <charset val="238"/>
      </rPr>
      <t>4 semestre</t>
    </r>
  </si>
  <si>
    <r>
      <t xml:space="preserve">Forma de învăţământ: </t>
    </r>
    <r>
      <rPr>
        <b/>
        <sz val="10"/>
        <color indexed="8"/>
        <rFont val="Times New Roman"/>
        <family val="1"/>
        <charset val="238"/>
      </rPr>
      <t>cu frecvenţă</t>
    </r>
  </si>
  <si>
    <r>
      <t xml:space="preserve">99   </t>
    </r>
    <r>
      <rPr>
        <sz val="10"/>
        <color indexed="8"/>
        <rFont val="Times New Roman"/>
        <family val="1"/>
        <charset val="238"/>
      </rPr>
      <t>de credite la disciplinele obligatorii;</t>
    </r>
  </si>
  <si>
    <r>
      <t xml:space="preserve"> 21 </t>
    </r>
    <r>
      <rPr>
        <sz val="10"/>
        <color indexed="8"/>
        <rFont val="Times New Roman"/>
        <family val="1"/>
        <charset val="238"/>
      </rPr>
      <t xml:space="preserve"> de credite la disciplinele opţionale;</t>
    </r>
  </si>
  <si>
    <r>
      <t>10</t>
    </r>
    <r>
      <rPr>
        <sz val="10"/>
        <color indexed="8"/>
        <rFont val="Times New Roman"/>
        <family val="1"/>
        <charset val="238"/>
      </rPr>
      <t xml:space="preserve"> credite la examenul de susținere a disertației</t>
    </r>
  </si>
  <si>
    <t>NOTA. Disciplina Elaborarea lucrarii de disertatie se desfasoara pe parcursul semestrului si 2 saptamani comasate in finalul semestrului  (6ore/zi, 5 zile/saptamana)                                                                                          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absolvire)</t>
  </si>
  <si>
    <r>
      <t>IV.EXAMENUL DE DISERTAȚIE</t>
    </r>
    <r>
      <rPr>
        <sz val="10"/>
        <color indexed="8"/>
        <rFont val="Times New Roman"/>
        <family val="1"/>
        <charset val="238"/>
      </rPr>
      <t xml:space="preserve"> - perioada iunie-iulie (1 săptămână)
Proba: Prezentarea şi susţinerea lucrării de disertație - 10 credite
</t>
    </r>
  </si>
  <si>
    <r>
      <t>Sem. 2: Se alege  o disciplină din pachetul</t>
    </r>
    <r>
      <rPr>
        <b/>
        <sz val="10"/>
        <color indexed="8"/>
        <rFont val="Times New Roman"/>
        <family val="1"/>
        <charset val="238"/>
      </rPr>
      <t xml:space="preserve"> </t>
    </r>
    <r>
      <rPr>
        <sz val="10"/>
        <color indexed="8"/>
        <rFont val="Times New Roman"/>
        <family val="1"/>
        <charset val="238"/>
      </rPr>
      <t>Curs optional 1</t>
    </r>
    <r>
      <rPr>
        <b/>
        <sz val="10"/>
        <color indexed="8"/>
        <rFont val="Times New Roman"/>
        <family val="1"/>
        <charset val="238"/>
      </rPr>
      <t xml:space="preserve"> MMX9101</t>
    </r>
    <r>
      <rPr>
        <sz val="10"/>
        <color indexed="8"/>
        <rFont val="Times New Roman"/>
        <family val="1"/>
        <charset val="238"/>
      </rPr>
      <t>: MME8051, MME8059, MME8024, MME8022</t>
    </r>
  </si>
  <si>
    <r>
      <t xml:space="preserve">Sem. 3: Se alege  o disciplină din pachetul Curs optional 2 </t>
    </r>
    <r>
      <rPr>
        <b/>
        <sz val="10"/>
        <color indexed="8"/>
        <rFont val="Times New Roman"/>
        <family val="1"/>
        <charset val="238"/>
      </rPr>
      <t>MMX9102</t>
    </r>
    <r>
      <rPr>
        <sz val="10"/>
        <color indexed="8"/>
        <rFont val="Times New Roman"/>
        <family val="1"/>
        <charset val="238"/>
      </rPr>
      <t>: MME8050, MME8026, MME8025</t>
    </r>
  </si>
  <si>
    <r>
      <t xml:space="preserve">Sem. 3: Se alege  o disciplină din pachetul Curs optional 3 </t>
    </r>
    <r>
      <rPr>
        <b/>
        <sz val="10"/>
        <color indexed="8"/>
        <rFont val="Times New Roman"/>
        <family val="1"/>
        <charset val="238"/>
      </rPr>
      <t>MMX9103</t>
    </r>
    <r>
      <rPr>
        <sz val="10"/>
        <color indexed="8"/>
        <rFont val="Times New Roman"/>
        <family val="1"/>
        <charset val="238"/>
      </rPr>
      <t>: MME8063, MME8009, MME8048</t>
    </r>
  </si>
  <si>
    <t>În contul a cel mult o disciplina opţionale generala, studentul are dreptul să aleagă 0 disciplina de la alte specializări ale facultăţilor din Universitatea „Babeş-Bolyai”.</t>
  </si>
  <si>
    <r>
      <t xml:space="preserve">VI.  UNIVERSITĂŢI EUROPENE DE REFERINŢĂ:
</t>
    </r>
    <r>
      <rPr>
        <sz val="10"/>
        <color indexed="8"/>
        <rFont val="Times New Roman"/>
        <family val="1"/>
        <charset val="238"/>
      </rPr>
      <t>University of Szeged, Univ. Paul Sabatier Toulouse III, Johannes Keppler Univ.Linz. 
Planul reflectă recomandările Association of Computing Machinery şi IEEE Computer Society</t>
    </r>
  </si>
  <si>
    <t>MME9001</t>
  </si>
  <si>
    <t>MME8028</t>
  </si>
  <si>
    <t>Paradigme de programare</t>
  </si>
  <si>
    <t>MME8005</t>
  </si>
  <si>
    <t>Metode formale în programare</t>
  </si>
  <si>
    <t>MME8006</t>
  </si>
  <si>
    <t>Modelarea comportamentului sistemelor soft</t>
  </si>
  <si>
    <t>MME8097</t>
  </si>
  <si>
    <t>Resource-aware computing</t>
  </si>
  <si>
    <t>MME8065</t>
  </si>
  <si>
    <t>Proiectarea sistemelor software</t>
  </si>
  <si>
    <t>MME8023</t>
  </si>
  <si>
    <t>Calitatea sistemelor software</t>
  </si>
  <si>
    <t>MME8031</t>
  </si>
  <si>
    <t>Modele în programarea paralelă</t>
  </si>
  <si>
    <t>MMX9101</t>
  </si>
  <si>
    <t>Curs optional 1</t>
  </si>
  <si>
    <t>MME8066</t>
  </si>
  <si>
    <t>Limbaje specifice domeniului de aplicație</t>
  </si>
  <si>
    <t>MME8008</t>
  </si>
  <si>
    <t>Programare bazata pe reguli</t>
  </si>
  <si>
    <t>MMX9102</t>
  </si>
  <si>
    <t>Curs optional 2</t>
  </si>
  <si>
    <t>MMX9103</t>
  </si>
  <si>
    <t>Curs optional 3</t>
  </si>
  <si>
    <t>MME9002</t>
  </si>
  <si>
    <t>Proiect de cercetare în programarea bazată pe componente</t>
  </si>
  <si>
    <t>MME3401</t>
  </si>
  <si>
    <t>Elaborarea lucrării de disertaţie</t>
  </si>
  <si>
    <t>MME9012</t>
  </si>
  <si>
    <t>Practica in specialitate</t>
  </si>
  <si>
    <t>MME8051</t>
  </si>
  <si>
    <t>Proiectarea cadrelor de aplicatie</t>
  </si>
  <si>
    <t>MME8059</t>
  </si>
  <si>
    <t>Vizualizarea științifică a datelor</t>
  </si>
  <si>
    <t>MME8024</t>
  </si>
  <si>
    <t>Proiectarea sistemelor software interactive</t>
  </si>
  <si>
    <t>MME8022</t>
  </si>
  <si>
    <t>Metodologii pentru procese soft</t>
  </si>
  <si>
    <t>CURS OPȚIONAL 1 (An I, Semestrul 2)</t>
  </si>
  <si>
    <t>CURS OPȚIONAL 2 (An II, Semestrul 3)</t>
  </si>
  <si>
    <t>Sisteme workflow</t>
  </si>
  <si>
    <t>MME8026</t>
  </si>
  <si>
    <t>Modele de calcul pentru sisteme embedded</t>
  </si>
  <si>
    <t>MME8025</t>
  </si>
  <si>
    <t>Ingineria cerinţelor</t>
  </si>
  <si>
    <t>MME8063</t>
  </si>
  <si>
    <t>Aplicaţii ale inteligenţei computaţionale în ingineria soft</t>
  </si>
  <si>
    <t>MME8009</t>
  </si>
  <si>
    <t>Sisteme pentru fundamentarea deciziilor</t>
  </si>
  <si>
    <t>MME8048</t>
  </si>
  <si>
    <t>Metode avansate de analiza datelor</t>
  </si>
  <si>
    <t>Practică pedagogică (în învăţământul liceal, postliceal şi universitar)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</si>
</sst>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;\-0;&quot;&quot;;@"/>
  </numFmts>
  <fonts count="15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1" fillId="0" borderId="0"/>
  </cellStyleXfs>
  <cellXfs count="247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2" fillId="0" borderId="4" xfId="0" applyFont="1" applyBorder="1" applyProtection="1"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1" fontId="1" fillId="4" borderId="1" xfId="0" applyNumberFormat="1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center" vertical="center"/>
    </xf>
    <xf numFmtId="1" fontId="2" fillId="4" borderId="1" xfId="0" applyNumberFormat="1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  <protection locked="0"/>
    </xf>
    <xf numFmtId="1" fontId="10" fillId="4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1" fontId="2" fillId="4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0" fontId="2" fillId="3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9" fontId="9" fillId="0" borderId="1" xfId="0" applyNumberFormat="1" applyFont="1" applyBorder="1" applyAlignment="1" applyProtection="1">
      <alignment horizontal="center" vertical="center"/>
    </xf>
    <xf numFmtId="9" fontId="8" fillId="0" borderId="1" xfId="0" applyNumberFormat="1" applyFont="1" applyBorder="1" applyAlignment="1" applyProtection="1">
      <alignment horizontal="center" vertical="center"/>
    </xf>
    <xf numFmtId="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</xf>
    <xf numFmtId="0" fontId="13" fillId="5" borderId="14" xfId="1" applyFont="1" applyFill="1" applyBorder="1" applyAlignment="1" applyProtection="1">
      <alignment horizontal="center" vertical="center" wrapText="1"/>
      <protection locked="0"/>
    </xf>
    <xf numFmtId="49" fontId="13" fillId="5" borderId="14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Alignment="1" applyProtection="1">
      <alignment vertical="center" wrapText="1"/>
      <protection locked="0"/>
    </xf>
    <xf numFmtId="0" fontId="13" fillId="0" borderId="0" xfId="1" applyFont="1" applyProtection="1">
      <protection locked="0"/>
    </xf>
    <xf numFmtId="0" fontId="13" fillId="0" borderId="0" xfId="1" applyFont="1" applyAlignment="1" applyProtection="1">
      <alignment horizontal="left" vertical="top" wrapText="1"/>
      <protection locked="0"/>
    </xf>
    <xf numFmtId="0" fontId="13" fillId="5" borderId="14" xfId="0" applyFont="1" applyFill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</xf>
    <xf numFmtId="1" fontId="13" fillId="0" borderId="14" xfId="0" applyNumberFormat="1" applyFont="1" applyBorder="1" applyAlignment="1" applyProtection="1">
      <alignment horizontal="center" vertical="center"/>
    </xf>
    <xf numFmtId="2" fontId="13" fillId="5" borderId="14" xfId="0" applyNumberFormat="1" applyFont="1" applyFill="1" applyBorder="1" applyAlignment="1" applyProtection="1">
      <alignment horizontal="center" vertical="center"/>
      <protection locked="0"/>
    </xf>
    <xf numFmtId="0" fontId="13" fillId="5" borderId="14" xfId="0" applyFont="1" applyFill="1" applyBorder="1" applyAlignment="1" applyProtection="1">
      <alignment horizontal="center" vertical="center" wrapText="1"/>
      <protection locked="0"/>
    </xf>
    <xf numFmtId="0" fontId="13" fillId="5" borderId="14" xfId="1" applyFont="1" applyFill="1" applyBorder="1" applyAlignment="1" applyProtection="1">
      <alignment horizontal="center" vertical="center"/>
      <protection locked="0"/>
    </xf>
    <xf numFmtId="0" fontId="14" fillId="5" borderId="14" xfId="1" applyFont="1" applyFill="1" applyBorder="1" applyAlignment="1">
      <alignment horizontal="left" vertical="top" wrapText="1"/>
    </xf>
    <xf numFmtId="0" fontId="14" fillId="5" borderId="14" xfId="1" applyFont="1" applyFill="1" applyBorder="1" applyAlignment="1">
      <alignment horizontal="center" vertical="top" wrapText="1"/>
    </xf>
    <xf numFmtId="0" fontId="13" fillId="0" borderId="14" xfId="1" applyFont="1" applyBorder="1" applyAlignment="1" applyProtection="1">
      <alignment horizontal="center" vertical="center"/>
    </xf>
    <xf numFmtId="1" fontId="13" fillId="0" borderId="14" xfId="1" applyNumberFormat="1" applyFont="1" applyBorder="1" applyAlignment="1" applyProtection="1">
      <alignment horizontal="center" vertical="center"/>
    </xf>
    <xf numFmtId="2" fontId="13" fillId="5" borderId="14" xfId="1" applyNumberFormat="1" applyFont="1" applyFill="1" applyBorder="1" applyAlignment="1" applyProtection="1">
      <alignment horizontal="center" vertical="center"/>
      <protection locked="0"/>
    </xf>
    <xf numFmtId="0" fontId="13" fillId="5" borderId="14" xfId="1" applyFont="1" applyFill="1" applyBorder="1" applyAlignment="1" applyProtection="1">
      <alignment horizontal="left" vertical="center"/>
      <protection locked="0"/>
    </xf>
    <xf numFmtId="0" fontId="14" fillId="5" borderId="1" xfId="0" applyFont="1" applyFill="1" applyBorder="1" applyAlignment="1">
      <alignment horizontal="left" vertical="top" wrapText="1"/>
    </xf>
    <xf numFmtId="0" fontId="14" fillId="5" borderId="1" xfId="1" applyFont="1" applyFill="1" applyBorder="1" applyAlignment="1">
      <alignment horizontal="left" vertical="top" wrapText="1"/>
    </xf>
    <xf numFmtId="0" fontId="14" fillId="5" borderId="14" xfId="0" applyFont="1" applyFill="1" applyBorder="1" applyAlignment="1">
      <alignment horizontal="left" vertical="top" wrapText="1"/>
    </xf>
    <xf numFmtId="0" fontId="13" fillId="5" borderId="1" xfId="1" applyFont="1" applyFill="1" applyBorder="1" applyAlignment="1" applyProtection="1">
      <alignment horizontal="left" vertical="center"/>
      <protection locked="0"/>
    </xf>
    <xf numFmtId="1" fontId="13" fillId="5" borderId="14" xfId="1" applyNumberFormat="1" applyFont="1" applyFill="1" applyBorder="1" applyAlignment="1" applyProtection="1">
      <alignment horizontal="left" vertical="center"/>
      <protection locked="0"/>
    </xf>
    <xf numFmtId="1" fontId="13" fillId="5" borderId="14" xfId="1" applyNumberFormat="1" applyFont="1" applyFill="1" applyBorder="1" applyAlignment="1" applyProtection="1">
      <alignment horizontal="center" vertical="center"/>
      <protection locked="0"/>
    </xf>
    <xf numFmtId="1" fontId="13" fillId="5" borderId="14" xfId="1" applyNumberFormat="1" applyFont="1" applyFill="1" applyBorder="1" applyAlignment="1" applyProtection="1">
      <alignment horizontal="center" vertical="center" wrapText="1"/>
      <protection locked="0"/>
    </xf>
    <xf numFmtId="165" fontId="13" fillId="0" borderId="14" xfId="1" applyNumberFormat="1" applyFont="1" applyBorder="1" applyAlignment="1" applyProtection="1">
      <alignment horizontal="center" vertical="center"/>
    </xf>
    <xf numFmtId="0" fontId="13" fillId="0" borderId="14" xfId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0" fontId="13" fillId="5" borderId="14" xfId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3" fillId="5" borderId="16" xfId="0" applyFont="1" applyFill="1" applyBorder="1" applyAlignment="1" applyProtection="1">
      <alignment horizontal="left" vertical="center"/>
      <protection locked="0"/>
    </xf>
    <xf numFmtId="0" fontId="13" fillId="5" borderId="14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3" fillId="5" borderId="16" xfId="1" applyFont="1" applyFill="1" applyBorder="1" applyAlignment="1" applyProtection="1">
      <alignment horizontal="left" vertical="center"/>
      <protection locked="0"/>
    </xf>
    <xf numFmtId="1" fontId="13" fillId="5" borderId="14" xfId="1" applyNumberFormat="1" applyFont="1" applyFill="1" applyBorder="1" applyAlignment="1" applyProtection="1">
      <alignment horizontal="left" vertical="center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3" fillId="0" borderId="0" xfId="1" applyFont="1" applyFill="1" applyBorder="1" applyAlignment="1" applyProtection="1">
      <alignment horizontal="left" vertical="top" wrapText="1"/>
      <protection locked="0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0" fontId="13" fillId="5" borderId="15" xfId="0" applyFont="1" applyFill="1" applyBorder="1" applyAlignment="1" applyProtection="1">
      <alignment horizontal="left" vertical="center"/>
      <protection locked="0"/>
    </xf>
    <xf numFmtId="0" fontId="13" fillId="5" borderId="14" xfId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13" fillId="0" borderId="0" xfId="1" applyFont="1" applyFill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3" fillId="0" borderId="0" xfId="1" applyFont="1" applyBorder="1" applyAlignment="1" applyProtection="1">
      <alignment horizontal="left" vertical="center" wrapText="1"/>
      <protection locked="0"/>
    </xf>
    <xf numFmtId="0" fontId="12" fillId="0" borderId="0" xfId="1" applyFont="1" applyFill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left" vertical="center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12" fillId="0" borderId="0" xfId="1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vertical="top" wrapText="1"/>
      <protection locked="0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0" fontId="12" fillId="0" borderId="14" xfId="1" applyNumberFormat="1" applyFont="1" applyBorder="1" applyAlignment="1" applyProtection="1">
      <alignment horizontal="center" vertical="center"/>
      <protection locked="0"/>
    </xf>
    <xf numFmtId="1" fontId="12" fillId="0" borderId="14" xfId="1" applyNumberFormat="1" applyFont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left" vertical="top" wrapText="1"/>
      <protection locked="0"/>
    </xf>
    <xf numFmtId="0" fontId="2" fillId="0" borderId="7" xfId="0" applyFont="1" applyBorder="1" applyProtection="1">
      <protection locked="0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9" fontId="8" fillId="0" borderId="2" xfId="0" applyNumberFormat="1" applyFont="1" applyBorder="1" applyAlignment="1" applyProtection="1">
      <alignment horizontal="center" vertical="center"/>
    </xf>
    <xf numFmtId="9" fontId="8" fillId="0" borderId="6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9" fontId="9" fillId="0" borderId="2" xfId="0" applyNumberFormat="1" applyFont="1" applyBorder="1" applyAlignment="1" applyProtection="1">
      <alignment horizontal="center"/>
    </xf>
    <xf numFmtId="9" fontId="9" fillId="0" borderId="6" xfId="0" applyNumberFormat="1" applyFont="1" applyBorder="1" applyAlignment="1" applyProtection="1">
      <alignment horizontal="center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/>
    </xf>
    <xf numFmtId="1" fontId="1" fillId="4" borderId="1" xfId="0" applyNumberFormat="1" applyFont="1" applyFill="1" applyBorder="1" applyAlignment="1" applyProtection="1">
      <alignment horizontal="left" vertical="center"/>
      <protection locked="0"/>
    </xf>
    <xf numFmtId="1" fontId="1" fillId="4" borderId="2" xfId="0" applyNumberFormat="1" applyFont="1" applyFill="1" applyBorder="1" applyAlignment="1" applyProtection="1">
      <alignment horizontal="left" vertical="center" wrapText="1"/>
      <protection locked="0"/>
    </xf>
    <xf numFmtId="1" fontId="1" fillId="4" borderId="5" xfId="0" applyNumberFormat="1" applyFont="1" applyFill="1" applyBorder="1" applyAlignment="1" applyProtection="1">
      <alignment horizontal="left" vertical="center"/>
      <protection locked="0"/>
    </xf>
    <xf numFmtId="1" fontId="1" fillId="4" borderId="6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/>
    <xf numFmtId="1" fontId="2" fillId="4" borderId="2" xfId="0" applyNumberFormat="1" applyFont="1" applyFill="1" applyBorder="1" applyAlignment="1" applyProtection="1">
      <alignment horizontal="center" vertical="center"/>
      <protection locked="0"/>
    </xf>
    <xf numFmtId="1" fontId="2" fillId="4" borderId="5" xfId="0" applyNumberFormat="1" applyFont="1" applyFill="1" applyBorder="1" applyAlignment="1" applyProtection="1">
      <alignment horizontal="center" vertical="center"/>
      <protection locked="0"/>
    </xf>
    <xf numFmtId="1" fontId="2" fillId="4" borderId="6" xfId="0" applyNumberFormat="1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2" fillId="4" borderId="9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10" xfId="0" applyFont="1" applyFill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</xf>
    <xf numFmtId="0" fontId="2" fillId="4" borderId="7" xfId="0" applyFont="1" applyFill="1" applyBorder="1" applyAlignment="1" applyProtection="1">
      <alignment horizontal="left" vertical="center" wrapText="1"/>
    </xf>
    <xf numFmtId="0" fontId="2" fillId="4" borderId="8" xfId="0" applyFont="1" applyFill="1" applyBorder="1" applyAlignment="1" applyProtection="1">
      <alignment horizontal="left" vertical="center" wrapText="1"/>
    </xf>
    <xf numFmtId="2" fontId="1" fillId="4" borderId="9" xfId="0" applyNumberFormat="1" applyFont="1" applyFill="1" applyBorder="1" applyAlignment="1" applyProtection="1">
      <alignment horizontal="center" vertical="center"/>
    </xf>
    <xf numFmtId="2" fontId="1" fillId="4" borderId="4" xfId="0" applyNumberFormat="1" applyFont="1" applyFill="1" applyBorder="1" applyAlignment="1" applyProtection="1">
      <alignment horizontal="center" vertical="center"/>
    </xf>
    <xf numFmtId="2" fontId="1" fillId="4" borderId="10" xfId="0" applyNumberFormat="1" applyFont="1" applyFill="1" applyBorder="1" applyAlignment="1" applyProtection="1">
      <alignment horizontal="center" vertical="center"/>
    </xf>
    <xf numFmtId="2" fontId="1" fillId="4" borderId="11" xfId="0" applyNumberFormat="1" applyFont="1" applyFill="1" applyBorder="1" applyAlignment="1" applyProtection="1">
      <alignment horizontal="center" vertical="center"/>
    </xf>
    <xf numFmtId="2" fontId="1" fillId="4" borderId="7" xfId="0" applyNumberFormat="1" applyFont="1" applyFill="1" applyBorder="1" applyAlignment="1" applyProtection="1">
      <alignment horizontal="center" vertical="center"/>
    </xf>
    <xf numFmtId="2" fontId="1" fillId="4" borderId="8" xfId="0" applyNumberFormat="1" applyFont="1" applyFill="1" applyBorder="1" applyAlignment="1" applyProtection="1">
      <alignment horizontal="center" vertical="center"/>
    </xf>
    <xf numFmtId="1" fontId="2" fillId="4" borderId="2" xfId="0" applyNumberFormat="1" applyFont="1" applyFill="1" applyBorder="1" applyAlignment="1" applyProtection="1">
      <alignment horizontal="center" vertical="center"/>
    </xf>
    <xf numFmtId="1" fontId="2" fillId="4" borderId="5" xfId="0" applyNumberFormat="1" applyFont="1" applyFill="1" applyBorder="1" applyAlignment="1" applyProtection="1">
      <alignment horizontal="center" vertical="center"/>
    </xf>
    <xf numFmtId="1" fontId="2" fillId="4" borderId="6" xfId="0" applyNumberFormat="1" applyFont="1" applyFill="1" applyBorder="1" applyAlignment="1" applyProtection="1">
      <alignment horizontal="center" vertical="center"/>
    </xf>
    <xf numFmtId="0" fontId="2" fillId="4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8"/>
  <sheetViews>
    <sheetView tabSelected="1" zoomScaleNormal="100" workbookViewId="0">
      <selection sqref="A1:K1"/>
    </sheetView>
  </sheetViews>
  <sheetFormatPr defaultColWidth="9.08984375" defaultRowHeight="13"/>
  <cols>
    <col min="1" max="1" width="9.36328125" style="1" customWidth="1"/>
    <col min="2" max="2" width="7.08984375" style="1" customWidth="1"/>
    <col min="3" max="3" width="7.36328125" style="1" customWidth="1"/>
    <col min="4" max="4" width="4.08984375" style="1" customWidth="1"/>
    <col min="5" max="5" width="3.6328125" style="1" customWidth="1"/>
    <col min="6" max="6" width="3.08984375" style="1" customWidth="1"/>
    <col min="7" max="7" width="5" style="1" customWidth="1"/>
    <col min="8" max="8" width="7" style="1" customWidth="1"/>
    <col min="9" max="9" width="5.90625" style="1" customWidth="1"/>
    <col min="10" max="10" width="7.36328125" style="1" customWidth="1"/>
    <col min="11" max="11" width="5.6328125" style="1" customWidth="1"/>
    <col min="12" max="12" width="6.08984375" style="1" customWidth="1"/>
    <col min="13" max="13" width="6.08984375" style="49" customWidth="1"/>
    <col min="14" max="14" width="5.54296875" style="1" customWidth="1"/>
    <col min="15" max="19" width="6" style="1" customWidth="1"/>
    <col min="20" max="20" width="6.08984375" style="1" customWidth="1"/>
    <col min="21" max="21" width="9.36328125" style="1" customWidth="1"/>
    <col min="22" max="16384" width="9.08984375" style="1"/>
  </cols>
  <sheetData>
    <row r="1" spans="1:21" ht="15.75" customHeight="1">
      <c r="A1" s="162" t="s">
        <v>92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65"/>
      <c r="M1" s="1"/>
      <c r="N1" s="164" t="s">
        <v>18</v>
      </c>
      <c r="O1" s="164"/>
      <c r="P1" s="164"/>
      <c r="Q1" s="164"/>
      <c r="R1" s="164"/>
      <c r="S1" s="164"/>
      <c r="T1" s="164"/>
      <c r="U1" s="164"/>
    </row>
    <row r="2" spans="1:21" ht="6.7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65"/>
      <c r="M2" s="1"/>
    </row>
    <row r="3" spans="1:21" ht="39" customHeight="1">
      <c r="A3" s="163" t="s">
        <v>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48"/>
      <c r="M3" s="1"/>
      <c r="N3" s="167"/>
      <c r="O3" s="168"/>
      <c r="P3" s="169" t="s">
        <v>33</v>
      </c>
      <c r="Q3" s="170"/>
      <c r="R3" s="171"/>
      <c r="S3" s="169" t="s">
        <v>34</v>
      </c>
      <c r="T3" s="170"/>
      <c r="U3" s="171"/>
    </row>
    <row r="4" spans="1:21" ht="17.25" customHeight="1">
      <c r="A4" s="165" t="s">
        <v>96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68"/>
      <c r="M4" s="1"/>
      <c r="N4" s="151" t="s">
        <v>14</v>
      </c>
      <c r="O4" s="152"/>
      <c r="P4" s="150">
        <v>19</v>
      </c>
      <c r="Q4" s="150"/>
      <c r="R4" s="150"/>
      <c r="S4" s="150">
        <v>16</v>
      </c>
      <c r="T4" s="150"/>
      <c r="U4" s="150"/>
    </row>
    <row r="5" spans="1:21" ht="16.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68"/>
      <c r="M5" s="1"/>
      <c r="N5" s="151" t="s">
        <v>15</v>
      </c>
      <c r="O5" s="152"/>
      <c r="P5" s="150">
        <v>16</v>
      </c>
      <c r="Q5" s="150"/>
      <c r="R5" s="150"/>
      <c r="S5" s="150">
        <v>24</v>
      </c>
      <c r="T5" s="150"/>
      <c r="U5" s="150"/>
    </row>
    <row r="6" spans="1:21" ht="15" customHeight="1">
      <c r="A6" s="160" t="s">
        <v>103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67"/>
      <c r="M6" s="1"/>
      <c r="N6" s="154"/>
      <c r="O6" s="154"/>
      <c r="P6" s="157"/>
      <c r="Q6" s="157"/>
      <c r="R6" s="157"/>
      <c r="S6" s="157"/>
      <c r="T6" s="157"/>
      <c r="U6" s="157"/>
    </row>
    <row r="7" spans="1:21" ht="18" customHeight="1">
      <c r="A7" s="155" t="s">
        <v>104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50"/>
      <c r="M7" s="1"/>
    </row>
    <row r="8" spans="1:21" ht="18.75" customHeight="1">
      <c r="A8" s="153" t="s">
        <v>105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52"/>
      <c r="M8" s="1"/>
      <c r="N8" s="158" t="s">
        <v>112</v>
      </c>
      <c r="O8" s="158"/>
      <c r="P8" s="158"/>
      <c r="Q8" s="158"/>
      <c r="R8" s="158"/>
      <c r="S8" s="158"/>
      <c r="T8" s="158"/>
      <c r="U8" s="158"/>
    </row>
    <row r="9" spans="1:21" ht="15" customHeight="1">
      <c r="A9" s="153" t="s">
        <v>68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52"/>
      <c r="M9" s="1"/>
      <c r="N9" s="158"/>
      <c r="O9" s="158"/>
      <c r="P9" s="158"/>
      <c r="Q9" s="158"/>
      <c r="R9" s="158"/>
      <c r="S9" s="158"/>
      <c r="T9" s="158"/>
      <c r="U9" s="158"/>
    </row>
    <row r="10" spans="1:21" ht="16.5" customHeight="1">
      <c r="A10" s="153" t="s">
        <v>106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52"/>
      <c r="M10" s="1"/>
      <c r="N10" s="158"/>
      <c r="O10" s="158"/>
      <c r="P10" s="158"/>
      <c r="Q10" s="158"/>
      <c r="R10" s="158"/>
      <c r="S10" s="158"/>
      <c r="T10" s="158"/>
      <c r="U10" s="158"/>
    </row>
    <row r="11" spans="1:21" ht="13" customHeight="1">
      <c r="A11" s="153" t="s">
        <v>107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52"/>
      <c r="M11" s="1"/>
      <c r="N11" s="158"/>
      <c r="O11" s="158"/>
      <c r="P11" s="158"/>
      <c r="Q11" s="158"/>
      <c r="R11" s="158"/>
      <c r="S11" s="158"/>
      <c r="T11" s="158"/>
      <c r="U11" s="158"/>
    </row>
    <row r="12" spans="1:21" ht="10.5" customHeigh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52"/>
      <c r="M12" s="1"/>
      <c r="N12" s="81"/>
      <c r="O12" s="81"/>
      <c r="P12" s="81"/>
      <c r="Q12" s="81"/>
      <c r="R12" s="81"/>
      <c r="S12" s="81"/>
      <c r="T12" s="82"/>
      <c r="U12" s="82"/>
    </row>
    <row r="13" spans="1:21">
      <c r="A13" s="159" t="s">
        <v>67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66"/>
      <c r="M13" s="1"/>
      <c r="N13" s="161" t="s">
        <v>19</v>
      </c>
      <c r="O13" s="161"/>
      <c r="P13" s="161"/>
      <c r="Q13" s="161"/>
      <c r="R13" s="161"/>
      <c r="S13" s="161"/>
      <c r="T13" s="161"/>
      <c r="U13" s="161"/>
    </row>
    <row r="14" spans="1:21" ht="12.75" customHeight="1">
      <c r="A14" s="159" t="s">
        <v>63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66"/>
      <c r="M14" s="1"/>
      <c r="N14" s="156" t="s">
        <v>113</v>
      </c>
      <c r="O14" s="156"/>
      <c r="P14" s="156"/>
      <c r="Q14" s="156"/>
      <c r="R14" s="156"/>
      <c r="S14" s="156"/>
      <c r="T14" s="156"/>
      <c r="U14" s="156"/>
    </row>
    <row r="15" spans="1:21" ht="12.75" customHeight="1">
      <c r="A15" s="159" t="s">
        <v>108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52"/>
      <c r="M15" s="1"/>
      <c r="N15" s="156" t="s">
        <v>114</v>
      </c>
      <c r="O15" s="156"/>
      <c r="P15" s="156"/>
      <c r="Q15" s="156"/>
      <c r="R15" s="156"/>
      <c r="S15" s="156"/>
      <c r="T15" s="156"/>
      <c r="U15" s="156"/>
    </row>
    <row r="16" spans="1:21" ht="12.75" customHeight="1">
      <c r="A16" s="159" t="s">
        <v>109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52"/>
      <c r="M16" s="1"/>
      <c r="N16" s="156" t="s">
        <v>115</v>
      </c>
      <c r="O16" s="156"/>
      <c r="P16" s="156"/>
      <c r="Q16" s="156"/>
      <c r="R16" s="156"/>
      <c r="S16" s="156"/>
      <c r="T16" s="156"/>
      <c r="U16" s="156"/>
    </row>
    <row r="17" spans="1:21" ht="12.75" customHeight="1">
      <c r="A17" s="153" t="s">
        <v>1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52"/>
      <c r="M17" s="1"/>
      <c r="N17" s="142"/>
      <c r="O17" s="142"/>
      <c r="P17" s="142"/>
      <c r="Q17" s="142"/>
      <c r="R17" s="142"/>
      <c r="S17" s="142"/>
      <c r="T17" s="142"/>
      <c r="U17" s="142"/>
    </row>
    <row r="18" spans="1:21" ht="14.25" customHeight="1">
      <c r="A18" s="159" t="s">
        <v>110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52"/>
      <c r="M18" s="1"/>
      <c r="N18" s="142"/>
      <c r="O18" s="142"/>
      <c r="P18" s="142"/>
      <c r="Q18" s="142"/>
      <c r="R18" s="142"/>
      <c r="S18" s="142"/>
      <c r="T18" s="142"/>
      <c r="U18" s="142"/>
    </row>
    <row r="19" spans="1:21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52"/>
      <c r="M19" s="1"/>
      <c r="N19" s="142"/>
      <c r="O19" s="142"/>
      <c r="P19" s="142"/>
      <c r="Q19" s="142"/>
      <c r="R19" s="142"/>
      <c r="S19" s="142"/>
      <c r="T19" s="142"/>
      <c r="U19" s="142"/>
    </row>
    <row r="20" spans="1:21" ht="7.5" customHeight="1">
      <c r="A20" s="155" t="s">
        <v>111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50"/>
      <c r="M20" s="1"/>
      <c r="N20" s="81"/>
      <c r="O20" s="81"/>
      <c r="P20" s="81"/>
      <c r="Q20" s="81"/>
      <c r="R20" s="81"/>
      <c r="S20" s="81"/>
      <c r="T20" s="82"/>
      <c r="U20" s="82"/>
    </row>
    <row r="21" spans="1:21" ht="1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50"/>
      <c r="M21" s="1"/>
      <c r="N21" s="193" t="s">
        <v>116</v>
      </c>
      <c r="O21" s="193"/>
      <c r="P21" s="193"/>
      <c r="Q21" s="193"/>
      <c r="R21" s="193"/>
      <c r="S21" s="193"/>
      <c r="T21" s="193"/>
      <c r="U21" s="193"/>
    </row>
    <row r="22" spans="1:21" ht="15" customHeight="1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50"/>
      <c r="M22" s="1"/>
      <c r="N22" s="193"/>
      <c r="O22" s="193"/>
      <c r="P22" s="193"/>
      <c r="Q22" s="193"/>
      <c r="R22" s="193"/>
      <c r="S22" s="193"/>
      <c r="T22" s="193"/>
      <c r="U22" s="193"/>
    </row>
    <row r="23" spans="1:21" ht="13.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50"/>
      <c r="M23" s="1"/>
      <c r="N23" s="193"/>
      <c r="O23" s="193"/>
      <c r="P23" s="193"/>
      <c r="Q23" s="193"/>
      <c r="R23" s="193"/>
      <c r="S23" s="193"/>
      <c r="T23" s="193"/>
      <c r="U23" s="193"/>
    </row>
    <row r="24" spans="1:21" ht="6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50"/>
      <c r="M24" s="1"/>
      <c r="N24" s="83"/>
      <c r="O24" s="83"/>
      <c r="P24" s="83"/>
      <c r="Q24" s="83"/>
      <c r="R24" s="83"/>
      <c r="S24" s="83"/>
      <c r="T24" s="82"/>
      <c r="U24" s="82"/>
    </row>
    <row r="25" spans="1:21">
      <c r="A25" s="194" t="s">
        <v>16</v>
      </c>
      <c r="B25" s="194"/>
      <c r="C25" s="194"/>
      <c r="D25" s="194"/>
      <c r="E25" s="194"/>
      <c r="F25" s="194"/>
      <c r="G25" s="194"/>
      <c r="L25" s="49"/>
      <c r="M25" s="1"/>
      <c r="N25" s="172" t="s">
        <v>117</v>
      </c>
      <c r="O25" s="172"/>
      <c r="P25" s="172"/>
      <c r="Q25" s="172"/>
      <c r="R25" s="172"/>
      <c r="S25" s="172"/>
      <c r="T25" s="172"/>
      <c r="U25" s="172"/>
    </row>
    <row r="26" spans="1:21" ht="26.25" customHeight="1">
      <c r="A26" s="3"/>
      <c r="B26" s="169" t="s">
        <v>2</v>
      </c>
      <c r="C26" s="171"/>
      <c r="D26" s="169" t="s">
        <v>3</v>
      </c>
      <c r="E26" s="170"/>
      <c r="F26" s="171"/>
      <c r="G26" s="132" t="s">
        <v>17</v>
      </c>
      <c r="H26" s="132" t="s">
        <v>10</v>
      </c>
      <c r="I26" s="169" t="s">
        <v>4</v>
      </c>
      <c r="J26" s="170"/>
      <c r="K26" s="171"/>
      <c r="L26" s="69"/>
      <c r="M26" s="1"/>
      <c r="N26" s="172"/>
      <c r="O26" s="172"/>
      <c r="P26" s="172"/>
      <c r="Q26" s="172"/>
      <c r="R26" s="172"/>
      <c r="S26" s="172"/>
      <c r="T26" s="172"/>
      <c r="U26" s="172"/>
    </row>
    <row r="27" spans="1:21" ht="14.25" customHeight="1">
      <c r="A27" s="3"/>
      <c r="B27" s="4" t="s">
        <v>5</v>
      </c>
      <c r="C27" s="4" t="s">
        <v>6</v>
      </c>
      <c r="D27" s="4" t="s">
        <v>7</v>
      </c>
      <c r="E27" s="4" t="s">
        <v>8</v>
      </c>
      <c r="F27" s="4" t="s">
        <v>9</v>
      </c>
      <c r="G27" s="133"/>
      <c r="H27" s="133"/>
      <c r="I27" s="4" t="s">
        <v>11</v>
      </c>
      <c r="J27" s="4" t="s">
        <v>12</v>
      </c>
      <c r="K27" s="4" t="s">
        <v>13</v>
      </c>
      <c r="L27" s="69"/>
      <c r="M27" s="1"/>
      <c r="N27" s="172"/>
      <c r="O27" s="172"/>
      <c r="P27" s="172"/>
      <c r="Q27" s="172"/>
      <c r="R27" s="172"/>
      <c r="S27" s="172"/>
      <c r="T27" s="172"/>
      <c r="U27" s="172"/>
    </row>
    <row r="28" spans="1:21" ht="17.25" customHeight="1">
      <c r="A28" s="5" t="s">
        <v>14</v>
      </c>
      <c r="B28" s="6">
        <v>14</v>
      </c>
      <c r="C28" s="6">
        <v>14</v>
      </c>
      <c r="D28" s="79">
        <v>3</v>
      </c>
      <c r="E28" s="79">
        <v>3</v>
      </c>
      <c r="F28" s="79">
        <v>2</v>
      </c>
      <c r="G28" s="79"/>
      <c r="H28" s="80"/>
      <c r="I28" s="79">
        <v>3</v>
      </c>
      <c r="J28" s="79">
        <v>1</v>
      </c>
      <c r="K28" s="79">
        <v>12</v>
      </c>
      <c r="L28" s="70"/>
      <c r="M28" s="1"/>
      <c r="N28" s="172"/>
      <c r="O28" s="172"/>
      <c r="P28" s="172"/>
      <c r="Q28" s="172"/>
      <c r="R28" s="172"/>
      <c r="S28" s="172"/>
      <c r="T28" s="172"/>
      <c r="U28" s="172"/>
    </row>
    <row r="29" spans="1:21" ht="15" customHeight="1">
      <c r="A29" s="5" t="s">
        <v>15</v>
      </c>
      <c r="B29" s="6">
        <v>14</v>
      </c>
      <c r="C29" s="6">
        <v>12</v>
      </c>
      <c r="D29" s="79">
        <v>3</v>
      </c>
      <c r="E29" s="79">
        <v>3</v>
      </c>
      <c r="F29" s="79">
        <v>2</v>
      </c>
      <c r="G29" s="79">
        <v>2</v>
      </c>
      <c r="H29" s="79" t="s">
        <v>101</v>
      </c>
      <c r="I29" s="79">
        <v>3</v>
      </c>
      <c r="J29" s="79">
        <v>1</v>
      </c>
      <c r="K29" s="79">
        <v>12</v>
      </c>
      <c r="L29" s="70"/>
      <c r="M29" s="1"/>
      <c r="N29" s="172"/>
      <c r="O29" s="172"/>
      <c r="P29" s="172"/>
      <c r="Q29" s="172"/>
      <c r="R29" s="172"/>
      <c r="S29" s="172"/>
      <c r="T29" s="172"/>
      <c r="U29" s="172"/>
    </row>
    <row r="30" spans="1:21" ht="15.75" customHeight="1">
      <c r="A30" s="32" t="s">
        <v>100</v>
      </c>
      <c r="B30" s="30"/>
      <c r="C30" s="30"/>
      <c r="D30" s="30"/>
      <c r="E30" s="30"/>
      <c r="F30" s="30"/>
      <c r="G30" s="30"/>
      <c r="H30" s="30"/>
      <c r="I30" s="30"/>
      <c r="J30" s="30"/>
      <c r="K30" s="33"/>
      <c r="L30" s="62"/>
      <c r="M30" s="1"/>
      <c r="N30" s="172"/>
      <c r="O30" s="172"/>
      <c r="P30" s="172"/>
      <c r="Q30" s="172"/>
      <c r="R30" s="172"/>
      <c r="S30" s="172"/>
      <c r="T30" s="172"/>
      <c r="U30" s="172"/>
    </row>
    <row r="31" spans="1:21" ht="21" customHeight="1">
      <c r="A31" s="31"/>
      <c r="B31" s="31"/>
      <c r="C31" s="31"/>
      <c r="D31" s="31"/>
      <c r="E31" s="31"/>
      <c r="F31" s="31"/>
      <c r="G31" s="31"/>
      <c r="L31" s="49"/>
      <c r="M31" s="1"/>
      <c r="N31" s="172"/>
      <c r="O31" s="172"/>
      <c r="P31" s="172"/>
      <c r="Q31" s="172"/>
      <c r="R31" s="172"/>
      <c r="S31" s="172"/>
      <c r="T31" s="172"/>
      <c r="U31" s="172"/>
    </row>
    <row r="32" spans="1:21" ht="15" customHeight="1">
      <c r="B32" s="2"/>
      <c r="C32" s="2"/>
      <c r="D32" s="2"/>
      <c r="E32" s="2"/>
      <c r="F32" s="2"/>
      <c r="G32" s="2"/>
      <c r="M32" s="7"/>
      <c r="N32" s="7"/>
      <c r="O32" s="7"/>
      <c r="P32" s="7"/>
      <c r="Q32" s="7"/>
      <c r="R32" s="7"/>
      <c r="S32" s="7"/>
    </row>
    <row r="33" spans="1:21">
      <c r="B33" s="7"/>
      <c r="C33" s="7"/>
      <c r="D33" s="7"/>
      <c r="E33" s="7"/>
      <c r="F33" s="7"/>
      <c r="G33" s="7"/>
      <c r="M33" s="7"/>
      <c r="N33" s="7"/>
      <c r="O33" s="7"/>
      <c r="P33" s="7"/>
      <c r="Q33" s="7"/>
      <c r="R33" s="7"/>
      <c r="S33" s="7"/>
    </row>
    <row r="34" spans="1:21" ht="16.5" customHeight="1">
      <c r="A34" s="166" t="s">
        <v>20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</row>
    <row r="35" spans="1:21" ht="8.25" hidden="1" customHeight="1">
      <c r="O35" s="8"/>
      <c r="P35" s="9" t="s">
        <v>35</v>
      </c>
      <c r="Q35" s="9" t="s">
        <v>36</v>
      </c>
      <c r="R35" s="9" t="s">
        <v>37</v>
      </c>
      <c r="S35" s="9" t="s">
        <v>38</v>
      </c>
      <c r="T35" s="9" t="s">
        <v>52</v>
      </c>
      <c r="U35" s="9"/>
    </row>
    <row r="36" spans="1:21" ht="17.25" customHeight="1">
      <c r="A36" s="106" t="s">
        <v>41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</row>
    <row r="37" spans="1:21" ht="25.5" customHeight="1">
      <c r="A37" s="123" t="s">
        <v>26</v>
      </c>
      <c r="B37" s="125" t="s">
        <v>25</v>
      </c>
      <c r="C37" s="126"/>
      <c r="D37" s="126"/>
      <c r="E37" s="126"/>
      <c r="F37" s="126"/>
      <c r="G37" s="126"/>
      <c r="H37" s="126"/>
      <c r="I37" s="127"/>
      <c r="J37" s="132" t="s">
        <v>39</v>
      </c>
      <c r="K37" s="120" t="s">
        <v>23</v>
      </c>
      <c r="L37" s="121"/>
      <c r="M37" s="121"/>
      <c r="N37" s="122"/>
      <c r="O37" s="120" t="s">
        <v>40</v>
      </c>
      <c r="P37" s="140"/>
      <c r="Q37" s="141"/>
      <c r="R37" s="120" t="s">
        <v>22</v>
      </c>
      <c r="S37" s="121"/>
      <c r="T37" s="122"/>
      <c r="U37" s="137" t="s">
        <v>21</v>
      </c>
    </row>
    <row r="38" spans="1:21" ht="13.5" customHeight="1">
      <c r="A38" s="124"/>
      <c r="B38" s="128"/>
      <c r="C38" s="129"/>
      <c r="D38" s="129"/>
      <c r="E38" s="129"/>
      <c r="F38" s="129"/>
      <c r="G38" s="129"/>
      <c r="H38" s="129"/>
      <c r="I38" s="130"/>
      <c r="J38" s="133"/>
      <c r="K38" s="4" t="s">
        <v>27</v>
      </c>
      <c r="L38" s="4" t="s">
        <v>28</v>
      </c>
      <c r="M38" s="51" t="s">
        <v>98</v>
      </c>
      <c r="N38" s="4" t="s">
        <v>99</v>
      </c>
      <c r="O38" s="4" t="s">
        <v>32</v>
      </c>
      <c r="P38" s="4" t="s">
        <v>7</v>
      </c>
      <c r="Q38" s="4" t="s">
        <v>29</v>
      </c>
      <c r="R38" s="4" t="s">
        <v>30</v>
      </c>
      <c r="S38" s="4" t="s">
        <v>27</v>
      </c>
      <c r="T38" s="4" t="s">
        <v>31</v>
      </c>
      <c r="U38" s="133"/>
    </row>
    <row r="39" spans="1:21" ht="14.4" customHeight="1">
      <c r="A39" s="96" t="s">
        <v>118</v>
      </c>
      <c r="B39" s="135" t="s">
        <v>97</v>
      </c>
      <c r="C39" s="136"/>
      <c r="D39" s="136"/>
      <c r="E39" s="136"/>
      <c r="F39" s="136"/>
      <c r="G39" s="136"/>
      <c r="H39" s="136"/>
      <c r="I39" s="136"/>
      <c r="J39" s="84">
        <v>4</v>
      </c>
      <c r="K39" s="84">
        <v>2</v>
      </c>
      <c r="L39" s="84">
        <v>1</v>
      </c>
      <c r="M39" s="84">
        <v>0</v>
      </c>
      <c r="N39" s="84">
        <v>0</v>
      </c>
      <c r="O39" s="85">
        <f>K39+L39+M39+N39</f>
        <v>3</v>
      </c>
      <c r="P39" s="86">
        <f>Q39-O39</f>
        <v>4</v>
      </c>
      <c r="Q39" s="86">
        <f>ROUND(PRODUCT(J39,25)/14,0)</f>
        <v>7</v>
      </c>
      <c r="R39" s="87"/>
      <c r="S39" s="84" t="s">
        <v>27</v>
      </c>
      <c r="T39" s="88"/>
      <c r="U39" s="89" t="s">
        <v>35</v>
      </c>
    </row>
    <row r="40" spans="1:21" ht="14.4" customHeight="1">
      <c r="A40" s="96" t="s">
        <v>119</v>
      </c>
      <c r="B40" s="135" t="s">
        <v>120</v>
      </c>
      <c r="C40" s="149"/>
      <c r="D40" s="149"/>
      <c r="E40" s="149"/>
      <c r="F40" s="149"/>
      <c r="G40" s="149"/>
      <c r="H40" s="149"/>
      <c r="I40" s="149"/>
      <c r="J40" s="84">
        <v>7</v>
      </c>
      <c r="K40" s="84">
        <v>2</v>
      </c>
      <c r="L40" s="84">
        <v>1</v>
      </c>
      <c r="M40" s="84">
        <v>0</v>
      </c>
      <c r="N40" s="84">
        <v>1</v>
      </c>
      <c r="O40" s="85">
        <f>K40+L40+M40+N40</f>
        <v>4</v>
      </c>
      <c r="P40" s="86">
        <f>Q40-O40</f>
        <v>9</v>
      </c>
      <c r="Q40" s="86">
        <f>ROUND(PRODUCT(J40,25)/14,0)</f>
        <v>13</v>
      </c>
      <c r="R40" s="87" t="s">
        <v>30</v>
      </c>
      <c r="S40" s="84"/>
      <c r="T40" s="88"/>
      <c r="U40" s="89" t="s">
        <v>35</v>
      </c>
    </row>
    <row r="41" spans="1:21" ht="14.4" customHeight="1">
      <c r="A41" s="96" t="s">
        <v>121</v>
      </c>
      <c r="B41" s="135" t="s">
        <v>122</v>
      </c>
      <c r="C41" s="136"/>
      <c r="D41" s="136"/>
      <c r="E41" s="136"/>
      <c r="F41" s="136"/>
      <c r="G41" s="136"/>
      <c r="H41" s="136"/>
      <c r="I41" s="136"/>
      <c r="J41" s="84">
        <v>6</v>
      </c>
      <c r="K41" s="84">
        <v>2</v>
      </c>
      <c r="L41" s="84">
        <v>1</v>
      </c>
      <c r="M41" s="84">
        <v>0</v>
      </c>
      <c r="N41" s="84">
        <v>1</v>
      </c>
      <c r="O41" s="85">
        <f>K41+L41+M41+N41</f>
        <v>4</v>
      </c>
      <c r="P41" s="86">
        <f>Q41-O41</f>
        <v>7</v>
      </c>
      <c r="Q41" s="86">
        <f>ROUND(PRODUCT(J41,25)/14,0)</f>
        <v>11</v>
      </c>
      <c r="R41" s="87" t="s">
        <v>30</v>
      </c>
      <c r="S41" s="84"/>
      <c r="T41" s="88"/>
      <c r="U41" s="89" t="s">
        <v>35</v>
      </c>
    </row>
    <row r="42" spans="1:21" ht="14.4" customHeight="1">
      <c r="A42" s="96" t="s">
        <v>123</v>
      </c>
      <c r="B42" s="135" t="s">
        <v>124</v>
      </c>
      <c r="C42" s="136"/>
      <c r="D42" s="136"/>
      <c r="E42" s="136"/>
      <c r="F42" s="136"/>
      <c r="G42" s="136"/>
      <c r="H42" s="136"/>
      <c r="I42" s="136"/>
      <c r="J42" s="84">
        <v>6</v>
      </c>
      <c r="K42" s="84">
        <v>2</v>
      </c>
      <c r="L42" s="84">
        <v>1</v>
      </c>
      <c r="M42" s="84">
        <v>0</v>
      </c>
      <c r="N42" s="84">
        <v>1</v>
      </c>
      <c r="O42" s="85">
        <f>K42+L42+M42+N42</f>
        <v>4</v>
      </c>
      <c r="P42" s="86">
        <f>Q42-O42</f>
        <v>7</v>
      </c>
      <c r="Q42" s="86">
        <f>ROUND(PRODUCT(J42,25)/14,0)</f>
        <v>11</v>
      </c>
      <c r="R42" s="87" t="s">
        <v>30</v>
      </c>
      <c r="S42" s="84"/>
      <c r="T42" s="88"/>
      <c r="U42" s="89" t="s">
        <v>35</v>
      </c>
    </row>
    <row r="43" spans="1:21" ht="14.4" customHeight="1">
      <c r="A43" s="97" t="s">
        <v>125</v>
      </c>
      <c r="B43" s="138" t="s">
        <v>126</v>
      </c>
      <c r="C43" s="109"/>
      <c r="D43" s="109"/>
      <c r="E43" s="109"/>
      <c r="F43" s="109"/>
      <c r="G43" s="109"/>
      <c r="H43" s="109"/>
      <c r="I43" s="109"/>
      <c r="J43" s="91">
        <v>7</v>
      </c>
      <c r="K43" s="91">
        <v>2</v>
      </c>
      <c r="L43" s="91">
        <v>1</v>
      </c>
      <c r="M43" s="91">
        <v>0</v>
      </c>
      <c r="N43" s="91">
        <v>1</v>
      </c>
      <c r="O43" s="92">
        <v>4</v>
      </c>
      <c r="P43" s="93">
        <f>Q43-O43</f>
        <v>9</v>
      </c>
      <c r="Q43" s="93">
        <f>ROUND(PRODUCT(J43,25)/14,0)</f>
        <v>13</v>
      </c>
      <c r="R43" s="94" t="s">
        <v>30</v>
      </c>
      <c r="S43" s="89"/>
      <c r="T43" s="79"/>
      <c r="U43" s="89" t="s">
        <v>37</v>
      </c>
    </row>
    <row r="44" spans="1:21">
      <c r="A44" s="19" t="s">
        <v>24</v>
      </c>
      <c r="B44" s="111"/>
      <c r="C44" s="112"/>
      <c r="D44" s="112"/>
      <c r="E44" s="112"/>
      <c r="F44" s="112"/>
      <c r="G44" s="112"/>
      <c r="H44" s="112"/>
      <c r="I44" s="113"/>
      <c r="J44" s="19">
        <f t="shared" ref="J44:Q44" si="0">SUM(J39:J43)</f>
        <v>30</v>
      </c>
      <c r="K44" s="19">
        <f t="shared" si="0"/>
        <v>10</v>
      </c>
      <c r="L44" s="19">
        <f t="shared" si="0"/>
        <v>5</v>
      </c>
      <c r="M44" s="59">
        <f t="shared" si="0"/>
        <v>0</v>
      </c>
      <c r="N44" s="19">
        <f t="shared" si="0"/>
        <v>4</v>
      </c>
      <c r="O44" s="19">
        <f t="shared" si="0"/>
        <v>19</v>
      </c>
      <c r="P44" s="19">
        <f t="shared" si="0"/>
        <v>36</v>
      </c>
      <c r="Q44" s="19">
        <f t="shared" si="0"/>
        <v>55</v>
      </c>
      <c r="R44" s="19">
        <f>COUNTIF(R39:R43,"E")</f>
        <v>4</v>
      </c>
      <c r="S44" s="19">
        <f>COUNTIF(S39:S43,"C")</f>
        <v>1</v>
      </c>
      <c r="T44" s="19">
        <f>COUNTIF(T39:T43,"VP")</f>
        <v>0</v>
      </c>
      <c r="U44" s="47">
        <f>COUNTA(U39:U43)</f>
        <v>5</v>
      </c>
    </row>
    <row r="45" spans="1:21" ht="16.5" customHeight="1">
      <c r="A45" s="106" t="s">
        <v>42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</row>
    <row r="46" spans="1:21" ht="26.25" customHeight="1">
      <c r="A46" s="123" t="s">
        <v>26</v>
      </c>
      <c r="B46" s="125" t="s">
        <v>25</v>
      </c>
      <c r="C46" s="126"/>
      <c r="D46" s="126"/>
      <c r="E46" s="126"/>
      <c r="F46" s="126"/>
      <c r="G46" s="126"/>
      <c r="H46" s="126"/>
      <c r="I46" s="127"/>
      <c r="J46" s="132" t="s">
        <v>39</v>
      </c>
      <c r="K46" s="120" t="s">
        <v>23</v>
      </c>
      <c r="L46" s="121"/>
      <c r="M46" s="121"/>
      <c r="N46" s="122"/>
      <c r="O46" s="120" t="s">
        <v>40</v>
      </c>
      <c r="P46" s="140"/>
      <c r="Q46" s="141"/>
      <c r="R46" s="120" t="s">
        <v>22</v>
      </c>
      <c r="S46" s="121"/>
      <c r="T46" s="122"/>
      <c r="U46" s="137" t="s">
        <v>21</v>
      </c>
    </row>
    <row r="47" spans="1:21" ht="12.75" customHeight="1">
      <c r="A47" s="124"/>
      <c r="B47" s="128"/>
      <c r="C47" s="129"/>
      <c r="D47" s="129"/>
      <c r="E47" s="129"/>
      <c r="F47" s="129"/>
      <c r="G47" s="129"/>
      <c r="H47" s="129"/>
      <c r="I47" s="130"/>
      <c r="J47" s="133"/>
      <c r="K47" s="4" t="s">
        <v>27</v>
      </c>
      <c r="L47" s="4" t="s">
        <v>28</v>
      </c>
      <c r="M47" s="51" t="s">
        <v>98</v>
      </c>
      <c r="N47" s="4" t="s">
        <v>99</v>
      </c>
      <c r="O47" s="4" t="s">
        <v>32</v>
      </c>
      <c r="P47" s="4" t="s">
        <v>7</v>
      </c>
      <c r="Q47" s="4" t="s">
        <v>29</v>
      </c>
      <c r="R47" s="4" t="s">
        <v>30</v>
      </c>
      <c r="S47" s="4" t="s">
        <v>27</v>
      </c>
      <c r="T47" s="4" t="s">
        <v>31</v>
      </c>
      <c r="U47" s="133"/>
    </row>
    <row r="48" spans="1:21" ht="14.4" customHeight="1">
      <c r="A48" s="98" t="s">
        <v>127</v>
      </c>
      <c r="B48" s="136" t="s">
        <v>128</v>
      </c>
      <c r="C48" s="136"/>
      <c r="D48" s="136"/>
      <c r="E48" s="136"/>
      <c r="F48" s="136"/>
      <c r="G48" s="136"/>
      <c r="H48" s="136"/>
      <c r="I48" s="136"/>
      <c r="J48" s="84">
        <v>8</v>
      </c>
      <c r="K48" s="84">
        <v>2</v>
      </c>
      <c r="L48" s="84">
        <v>1</v>
      </c>
      <c r="M48" s="84">
        <v>0</v>
      </c>
      <c r="N48" s="84">
        <v>1</v>
      </c>
      <c r="O48" s="85">
        <f>K48+L48+M48+N48</f>
        <v>4</v>
      </c>
      <c r="P48" s="86">
        <f>Q48-O48</f>
        <v>10</v>
      </c>
      <c r="Q48" s="86">
        <f>ROUND(PRODUCT(J48,25)/14,0)</f>
        <v>14</v>
      </c>
      <c r="R48" s="87" t="s">
        <v>30</v>
      </c>
      <c r="S48" s="84"/>
      <c r="T48" s="88"/>
      <c r="U48" s="89" t="s">
        <v>35</v>
      </c>
    </row>
    <row r="49" spans="1:21" ht="14.4" customHeight="1">
      <c r="A49" s="98" t="s">
        <v>129</v>
      </c>
      <c r="B49" s="136" t="s">
        <v>130</v>
      </c>
      <c r="C49" s="136"/>
      <c r="D49" s="136"/>
      <c r="E49" s="136"/>
      <c r="F49" s="136"/>
      <c r="G49" s="136"/>
      <c r="H49" s="136"/>
      <c r="I49" s="136"/>
      <c r="J49" s="84">
        <v>8</v>
      </c>
      <c r="K49" s="84">
        <v>2</v>
      </c>
      <c r="L49" s="84">
        <v>1</v>
      </c>
      <c r="M49" s="84">
        <v>0</v>
      </c>
      <c r="N49" s="84">
        <v>1</v>
      </c>
      <c r="O49" s="85">
        <f>K49+L49+M49+N49</f>
        <v>4</v>
      </c>
      <c r="P49" s="86">
        <f>Q49-O49</f>
        <v>10</v>
      </c>
      <c r="Q49" s="86">
        <f>ROUND(PRODUCT(J49,25)/14,0)</f>
        <v>14</v>
      </c>
      <c r="R49" s="87" t="s">
        <v>30</v>
      </c>
      <c r="S49" s="84"/>
      <c r="T49" s="88"/>
      <c r="U49" s="89" t="s">
        <v>35</v>
      </c>
    </row>
    <row r="50" spans="1:21" ht="14.4" customHeight="1">
      <c r="A50" s="90" t="s">
        <v>131</v>
      </c>
      <c r="B50" s="109" t="s">
        <v>132</v>
      </c>
      <c r="C50" s="109"/>
      <c r="D50" s="109"/>
      <c r="E50" s="109"/>
      <c r="F50" s="109"/>
      <c r="G50" s="109"/>
      <c r="H50" s="109"/>
      <c r="I50" s="109"/>
      <c r="J50" s="91">
        <v>7</v>
      </c>
      <c r="K50" s="91">
        <v>2</v>
      </c>
      <c r="L50" s="91">
        <v>1</v>
      </c>
      <c r="M50" s="91">
        <v>0</v>
      </c>
      <c r="N50" s="91">
        <v>1</v>
      </c>
      <c r="O50" s="92">
        <f>K50+L50+M50+N50</f>
        <v>4</v>
      </c>
      <c r="P50" s="93">
        <f>Q50-O50</f>
        <v>9</v>
      </c>
      <c r="Q50" s="93">
        <f>ROUND(PRODUCT(J50,25)/14,0)</f>
        <v>13</v>
      </c>
      <c r="R50" s="91" t="s">
        <v>30</v>
      </c>
      <c r="S50" s="89"/>
      <c r="T50" s="79"/>
      <c r="U50" s="89" t="s">
        <v>35</v>
      </c>
    </row>
    <row r="51" spans="1:21">
      <c r="A51" s="95" t="s">
        <v>133</v>
      </c>
      <c r="B51" s="109" t="s">
        <v>134</v>
      </c>
      <c r="C51" s="109"/>
      <c r="D51" s="109"/>
      <c r="E51" s="109"/>
      <c r="F51" s="109"/>
      <c r="G51" s="109"/>
      <c r="H51" s="109"/>
      <c r="I51" s="109"/>
      <c r="J51" s="89">
        <v>7</v>
      </c>
      <c r="K51" s="89">
        <v>2</v>
      </c>
      <c r="L51" s="89">
        <v>1</v>
      </c>
      <c r="M51" s="89">
        <v>0</v>
      </c>
      <c r="N51" s="89">
        <v>1</v>
      </c>
      <c r="O51" s="92">
        <f>K51+L51+M51+N51</f>
        <v>4</v>
      </c>
      <c r="P51" s="93">
        <f>Q51-O51</f>
        <v>9</v>
      </c>
      <c r="Q51" s="93">
        <f>ROUND(PRODUCT(J51,25)/14,0)</f>
        <v>13</v>
      </c>
      <c r="R51" s="94" t="s">
        <v>30</v>
      </c>
      <c r="S51" s="89"/>
      <c r="T51" s="79"/>
      <c r="U51" s="89" t="s">
        <v>37</v>
      </c>
    </row>
    <row r="52" spans="1:21">
      <c r="A52" s="19" t="s">
        <v>24</v>
      </c>
      <c r="B52" s="111"/>
      <c r="C52" s="112"/>
      <c r="D52" s="112"/>
      <c r="E52" s="112"/>
      <c r="F52" s="112"/>
      <c r="G52" s="112"/>
      <c r="H52" s="112"/>
      <c r="I52" s="113"/>
      <c r="J52" s="19">
        <f t="shared" ref="J52:Q52" si="1">SUM(J48:J51)</f>
        <v>30</v>
      </c>
      <c r="K52" s="19">
        <f t="shared" si="1"/>
        <v>8</v>
      </c>
      <c r="L52" s="19">
        <f t="shared" si="1"/>
        <v>4</v>
      </c>
      <c r="M52" s="59">
        <f t="shared" si="1"/>
        <v>0</v>
      </c>
      <c r="N52" s="19">
        <f t="shared" si="1"/>
        <v>4</v>
      </c>
      <c r="O52" s="19">
        <f t="shared" si="1"/>
        <v>16</v>
      </c>
      <c r="P52" s="19">
        <f t="shared" si="1"/>
        <v>38</v>
      </c>
      <c r="Q52" s="19">
        <f t="shared" si="1"/>
        <v>54</v>
      </c>
      <c r="R52" s="19">
        <f>COUNTIF(R48:R51,"E")</f>
        <v>4</v>
      </c>
      <c r="S52" s="19">
        <f>COUNTIF(S48:S51,"C")</f>
        <v>0</v>
      </c>
      <c r="T52" s="19">
        <f>COUNTIF(T48:T51,"VP")</f>
        <v>0</v>
      </c>
      <c r="U52" s="47">
        <f>COUNTA(U48:U51)</f>
        <v>4</v>
      </c>
    </row>
    <row r="53" spans="1:21" ht="18" customHeight="1">
      <c r="A53" s="106" t="s">
        <v>43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</row>
    <row r="54" spans="1:21" ht="25.5" customHeight="1">
      <c r="A54" s="123" t="s">
        <v>26</v>
      </c>
      <c r="B54" s="125" t="s">
        <v>25</v>
      </c>
      <c r="C54" s="126"/>
      <c r="D54" s="126"/>
      <c r="E54" s="126"/>
      <c r="F54" s="126"/>
      <c r="G54" s="126"/>
      <c r="H54" s="126"/>
      <c r="I54" s="127"/>
      <c r="J54" s="132" t="s">
        <v>39</v>
      </c>
      <c r="K54" s="120" t="s">
        <v>23</v>
      </c>
      <c r="L54" s="121"/>
      <c r="M54" s="121"/>
      <c r="N54" s="122"/>
      <c r="O54" s="120" t="s">
        <v>40</v>
      </c>
      <c r="P54" s="140"/>
      <c r="Q54" s="141"/>
      <c r="R54" s="120" t="s">
        <v>22</v>
      </c>
      <c r="S54" s="121"/>
      <c r="T54" s="122"/>
      <c r="U54" s="137" t="s">
        <v>21</v>
      </c>
    </row>
    <row r="55" spans="1:21" ht="16.5" customHeight="1">
      <c r="A55" s="124"/>
      <c r="B55" s="128"/>
      <c r="C55" s="129"/>
      <c r="D55" s="129"/>
      <c r="E55" s="129"/>
      <c r="F55" s="129"/>
      <c r="G55" s="129"/>
      <c r="H55" s="129"/>
      <c r="I55" s="130"/>
      <c r="J55" s="133"/>
      <c r="K55" s="4" t="s">
        <v>27</v>
      </c>
      <c r="L55" s="4" t="s">
        <v>28</v>
      </c>
      <c r="M55" s="51" t="s">
        <v>98</v>
      </c>
      <c r="N55" s="4" t="s">
        <v>99</v>
      </c>
      <c r="O55" s="4" t="s">
        <v>32</v>
      </c>
      <c r="P55" s="4" t="s">
        <v>7</v>
      </c>
      <c r="Q55" s="4" t="s">
        <v>29</v>
      </c>
      <c r="R55" s="4" t="s">
        <v>30</v>
      </c>
      <c r="S55" s="4" t="s">
        <v>27</v>
      </c>
      <c r="T55" s="4" t="s">
        <v>31</v>
      </c>
      <c r="U55" s="133"/>
    </row>
    <row r="56" spans="1:21" ht="14.4" customHeight="1">
      <c r="A56" s="96" t="s">
        <v>135</v>
      </c>
      <c r="B56" s="135" t="s">
        <v>136</v>
      </c>
      <c r="C56" s="136"/>
      <c r="D56" s="136"/>
      <c r="E56" s="136"/>
      <c r="F56" s="136"/>
      <c r="G56" s="136"/>
      <c r="H56" s="136"/>
      <c r="I56" s="136"/>
      <c r="J56" s="84">
        <v>8</v>
      </c>
      <c r="K56" s="84">
        <v>2</v>
      </c>
      <c r="L56" s="84">
        <v>1</v>
      </c>
      <c r="M56" s="84">
        <v>0</v>
      </c>
      <c r="N56" s="84">
        <v>1</v>
      </c>
      <c r="O56" s="85">
        <f>K56+L56+M56+N56</f>
        <v>4</v>
      </c>
      <c r="P56" s="86">
        <v>10</v>
      </c>
      <c r="Q56" s="86">
        <v>14</v>
      </c>
      <c r="R56" s="87" t="s">
        <v>30</v>
      </c>
      <c r="S56" s="84"/>
      <c r="T56" s="88"/>
      <c r="U56" s="89" t="s">
        <v>38</v>
      </c>
    </row>
    <row r="57" spans="1:21" ht="14.4" customHeight="1">
      <c r="A57" s="96" t="s">
        <v>137</v>
      </c>
      <c r="B57" s="135" t="s">
        <v>138</v>
      </c>
      <c r="C57" s="136"/>
      <c r="D57" s="136"/>
      <c r="E57" s="136"/>
      <c r="F57" s="136"/>
      <c r="G57" s="136"/>
      <c r="H57" s="136"/>
      <c r="I57" s="136"/>
      <c r="J57" s="84">
        <v>8</v>
      </c>
      <c r="K57" s="84">
        <v>2</v>
      </c>
      <c r="L57" s="84">
        <v>1</v>
      </c>
      <c r="M57" s="84">
        <v>0</v>
      </c>
      <c r="N57" s="84">
        <v>1</v>
      </c>
      <c r="O57" s="85">
        <f>K57+L57+M57+N57</f>
        <v>4</v>
      </c>
      <c r="P57" s="86">
        <f>Q57-O57</f>
        <v>10</v>
      </c>
      <c r="Q57" s="86">
        <f>ROUND(PRODUCT(J57,25)/14,0)</f>
        <v>14</v>
      </c>
      <c r="R57" s="87" t="s">
        <v>30</v>
      </c>
      <c r="S57" s="84"/>
      <c r="T57" s="88"/>
      <c r="U57" s="89" t="s">
        <v>35</v>
      </c>
    </row>
    <row r="58" spans="1:21" ht="14.4" customHeight="1">
      <c r="A58" s="99" t="s">
        <v>139</v>
      </c>
      <c r="B58" s="138" t="s">
        <v>140</v>
      </c>
      <c r="C58" s="109"/>
      <c r="D58" s="109"/>
      <c r="E58" s="109"/>
      <c r="F58" s="109"/>
      <c r="G58" s="109"/>
      <c r="H58" s="109"/>
      <c r="I58" s="109"/>
      <c r="J58" s="89">
        <v>7</v>
      </c>
      <c r="K58" s="89">
        <v>2</v>
      </c>
      <c r="L58" s="89">
        <v>1</v>
      </c>
      <c r="M58" s="89">
        <v>0</v>
      </c>
      <c r="N58" s="89">
        <v>1</v>
      </c>
      <c r="O58" s="92">
        <f>K58+L58+M58+N58</f>
        <v>4</v>
      </c>
      <c r="P58" s="93">
        <f>Q58-O58</f>
        <v>9</v>
      </c>
      <c r="Q58" s="93">
        <f>ROUND(PRODUCT(J58,25)/14,0)</f>
        <v>13</v>
      </c>
      <c r="R58" s="94" t="s">
        <v>30</v>
      </c>
      <c r="S58" s="89"/>
      <c r="T58" s="79"/>
      <c r="U58" s="89" t="s">
        <v>37</v>
      </c>
    </row>
    <row r="59" spans="1:21" ht="14.4" customHeight="1">
      <c r="A59" s="99" t="s">
        <v>141</v>
      </c>
      <c r="B59" s="138" t="s">
        <v>142</v>
      </c>
      <c r="C59" s="109"/>
      <c r="D59" s="109"/>
      <c r="E59" s="109"/>
      <c r="F59" s="109"/>
      <c r="G59" s="109"/>
      <c r="H59" s="109"/>
      <c r="I59" s="109"/>
      <c r="J59" s="89">
        <v>7</v>
      </c>
      <c r="K59" s="89">
        <v>2</v>
      </c>
      <c r="L59" s="89">
        <v>1</v>
      </c>
      <c r="M59" s="89">
        <v>0</v>
      </c>
      <c r="N59" s="89">
        <v>1</v>
      </c>
      <c r="O59" s="92">
        <f>K59+L59+M59+N59</f>
        <v>4</v>
      </c>
      <c r="P59" s="93">
        <f>Q59-O59</f>
        <v>9</v>
      </c>
      <c r="Q59" s="93">
        <f>ROUND(PRODUCT(J59,25)/14,0)</f>
        <v>13</v>
      </c>
      <c r="R59" s="94" t="s">
        <v>30</v>
      </c>
      <c r="S59" s="89"/>
      <c r="T59" s="79"/>
      <c r="U59" s="89" t="s">
        <v>38</v>
      </c>
    </row>
    <row r="60" spans="1:21">
      <c r="A60" s="19" t="s">
        <v>24</v>
      </c>
      <c r="B60" s="111"/>
      <c r="C60" s="112"/>
      <c r="D60" s="112"/>
      <c r="E60" s="112"/>
      <c r="F60" s="112"/>
      <c r="G60" s="112"/>
      <c r="H60" s="112"/>
      <c r="I60" s="113"/>
      <c r="J60" s="19">
        <f t="shared" ref="J60:Q60" si="2">SUM(J56:J59)</f>
        <v>30</v>
      </c>
      <c r="K60" s="19">
        <f t="shared" si="2"/>
        <v>8</v>
      </c>
      <c r="L60" s="19">
        <f t="shared" si="2"/>
        <v>4</v>
      </c>
      <c r="M60" s="59">
        <f t="shared" si="2"/>
        <v>0</v>
      </c>
      <c r="N60" s="19">
        <f t="shared" si="2"/>
        <v>4</v>
      </c>
      <c r="O60" s="19">
        <f t="shared" si="2"/>
        <v>16</v>
      </c>
      <c r="P60" s="19">
        <f t="shared" si="2"/>
        <v>38</v>
      </c>
      <c r="Q60" s="19">
        <f t="shared" si="2"/>
        <v>54</v>
      </c>
      <c r="R60" s="19">
        <f>COUNTIF(R56:R59,"E")</f>
        <v>4</v>
      </c>
      <c r="S60" s="19">
        <f>COUNTIF(S56:S59,"C")</f>
        <v>0</v>
      </c>
      <c r="T60" s="19">
        <f>COUNTIF(T56:T59,"VP")</f>
        <v>0</v>
      </c>
      <c r="U60" s="47">
        <f>COUNTA(U56:U59)</f>
        <v>4</v>
      </c>
    </row>
    <row r="61" spans="1:21" ht="18.75" customHeight="1">
      <c r="A61" s="106" t="s">
        <v>44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</row>
    <row r="62" spans="1:21" ht="24.75" customHeight="1">
      <c r="A62" s="123" t="s">
        <v>26</v>
      </c>
      <c r="B62" s="125" t="s">
        <v>25</v>
      </c>
      <c r="C62" s="126"/>
      <c r="D62" s="126"/>
      <c r="E62" s="126"/>
      <c r="F62" s="126"/>
      <c r="G62" s="126"/>
      <c r="H62" s="126"/>
      <c r="I62" s="127"/>
      <c r="J62" s="132" t="s">
        <v>39</v>
      </c>
      <c r="K62" s="120" t="s">
        <v>23</v>
      </c>
      <c r="L62" s="121"/>
      <c r="M62" s="121"/>
      <c r="N62" s="122"/>
      <c r="O62" s="120" t="s">
        <v>40</v>
      </c>
      <c r="P62" s="140"/>
      <c r="Q62" s="141"/>
      <c r="R62" s="120" t="s">
        <v>22</v>
      </c>
      <c r="S62" s="121"/>
      <c r="T62" s="122"/>
      <c r="U62" s="137" t="s">
        <v>21</v>
      </c>
    </row>
    <row r="63" spans="1:21">
      <c r="A63" s="124"/>
      <c r="B63" s="128"/>
      <c r="C63" s="129"/>
      <c r="D63" s="129"/>
      <c r="E63" s="129"/>
      <c r="F63" s="129"/>
      <c r="G63" s="129"/>
      <c r="H63" s="129"/>
      <c r="I63" s="130"/>
      <c r="J63" s="133"/>
      <c r="K63" s="4" t="s">
        <v>27</v>
      </c>
      <c r="L63" s="4" t="s">
        <v>28</v>
      </c>
      <c r="M63" s="51" t="s">
        <v>98</v>
      </c>
      <c r="N63" s="4" t="s">
        <v>99</v>
      </c>
      <c r="O63" s="4" t="s">
        <v>32</v>
      </c>
      <c r="P63" s="4" t="s">
        <v>7</v>
      </c>
      <c r="Q63" s="4" t="s">
        <v>29</v>
      </c>
      <c r="R63" s="4" t="s">
        <v>30</v>
      </c>
      <c r="S63" s="4" t="s">
        <v>27</v>
      </c>
      <c r="T63" s="4" t="s">
        <v>31</v>
      </c>
      <c r="U63" s="133"/>
    </row>
    <row r="64" spans="1:21" ht="14.4" customHeight="1">
      <c r="A64" s="96" t="s">
        <v>143</v>
      </c>
      <c r="B64" s="135" t="s">
        <v>144</v>
      </c>
      <c r="C64" s="136"/>
      <c r="D64" s="136"/>
      <c r="E64" s="136"/>
      <c r="F64" s="136"/>
      <c r="G64" s="136"/>
      <c r="H64" s="136"/>
      <c r="I64" s="136"/>
      <c r="J64" s="84">
        <v>6</v>
      </c>
      <c r="K64" s="84">
        <v>0</v>
      </c>
      <c r="L64" s="84">
        <v>0</v>
      </c>
      <c r="M64" s="84">
        <v>1</v>
      </c>
      <c r="N64" s="84">
        <v>2</v>
      </c>
      <c r="O64" s="85">
        <f>K64+L64+M64+N64</f>
        <v>3</v>
      </c>
      <c r="P64" s="86">
        <f>Q64-O64</f>
        <v>10</v>
      </c>
      <c r="Q64" s="86">
        <f>ROUND(PRODUCT(J64,25)/12,0)</f>
        <v>13</v>
      </c>
      <c r="R64" s="87"/>
      <c r="S64" s="84" t="s">
        <v>27</v>
      </c>
      <c r="T64" s="88"/>
      <c r="U64" s="84" t="s">
        <v>37</v>
      </c>
    </row>
    <row r="65" spans="1:21" ht="14.4" customHeight="1">
      <c r="A65" s="96" t="s">
        <v>145</v>
      </c>
      <c r="B65" s="135" t="s">
        <v>146</v>
      </c>
      <c r="C65" s="136"/>
      <c r="D65" s="136"/>
      <c r="E65" s="136"/>
      <c r="F65" s="136"/>
      <c r="G65" s="136"/>
      <c r="H65" s="136"/>
      <c r="I65" s="136"/>
      <c r="J65" s="84">
        <v>4</v>
      </c>
      <c r="K65" s="84">
        <v>0</v>
      </c>
      <c r="L65" s="84">
        <v>0</v>
      </c>
      <c r="M65" s="84">
        <v>0</v>
      </c>
      <c r="N65" s="84">
        <v>5</v>
      </c>
      <c r="O65" s="85">
        <f>K65+L65+M65+N65</f>
        <v>5</v>
      </c>
      <c r="P65" s="86">
        <f>Q65-O65</f>
        <v>3</v>
      </c>
      <c r="Q65" s="86">
        <f>ROUND(PRODUCT(J65,25)/12,0)</f>
        <v>8</v>
      </c>
      <c r="R65" s="87"/>
      <c r="S65" s="84"/>
      <c r="T65" s="79" t="s">
        <v>31</v>
      </c>
      <c r="U65" s="84" t="s">
        <v>37</v>
      </c>
    </row>
    <row r="66" spans="1:21" ht="14.4" customHeight="1">
      <c r="A66" s="99" t="s">
        <v>147</v>
      </c>
      <c r="B66" s="138" t="s">
        <v>148</v>
      </c>
      <c r="C66" s="109"/>
      <c r="D66" s="109"/>
      <c r="E66" s="109"/>
      <c r="F66" s="109"/>
      <c r="G66" s="109"/>
      <c r="H66" s="109"/>
      <c r="I66" s="109"/>
      <c r="J66" s="89">
        <v>20</v>
      </c>
      <c r="K66" s="89">
        <v>0</v>
      </c>
      <c r="L66" s="89">
        <v>0</v>
      </c>
      <c r="M66" s="89">
        <v>0</v>
      </c>
      <c r="N66" s="89">
        <v>16</v>
      </c>
      <c r="O66" s="92">
        <f>K66+L66+M66+N66</f>
        <v>16</v>
      </c>
      <c r="P66" s="93">
        <f>Q66-O66</f>
        <v>26</v>
      </c>
      <c r="Q66" s="93">
        <f>ROUND(PRODUCT(J66,25)/12,0)</f>
        <v>42</v>
      </c>
      <c r="R66" s="94"/>
      <c r="S66" s="89" t="s">
        <v>27</v>
      </c>
      <c r="T66" s="79"/>
      <c r="U66" s="89" t="s">
        <v>37</v>
      </c>
    </row>
    <row r="67" spans="1:21">
      <c r="A67" s="19" t="s">
        <v>24</v>
      </c>
      <c r="B67" s="111"/>
      <c r="C67" s="112"/>
      <c r="D67" s="112"/>
      <c r="E67" s="112"/>
      <c r="F67" s="112"/>
      <c r="G67" s="112"/>
      <c r="H67" s="112"/>
      <c r="I67" s="113"/>
      <c r="J67" s="19">
        <f t="shared" ref="J67:Q67" si="3">SUM(J64:J66)</f>
        <v>30</v>
      </c>
      <c r="K67" s="19">
        <f t="shared" si="3"/>
        <v>0</v>
      </c>
      <c r="L67" s="19">
        <f t="shared" si="3"/>
        <v>0</v>
      </c>
      <c r="M67" s="59">
        <f t="shared" si="3"/>
        <v>1</v>
      </c>
      <c r="N67" s="19">
        <f t="shared" si="3"/>
        <v>23</v>
      </c>
      <c r="O67" s="19">
        <f t="shared" si="3"/>
        <v>24</v>
      </c>
      <c r="P67" s="19">
        <f t="shared" si="3"/>
        <v>39</v>
      </c>
      <c r="Q67" s="19">
        <f t="shared" si="3"/>
        <v>63</v>
      </c>
      <c r="R67" s="19">
        <f>COUNTIF(R64:R66,"E")</f>
        <v>0</v>
      </c>
      <c r="S67" s="19">
        <f>COUNTIF(S64:S66,"C")</f>
        <v>2</v>
      </c>
      <c r="T67" s="19">
        <f>COUNTIF(T64:T66,"VP")</f>
        <v>1</v>
      </c>
      <c r="U67" s="47">
        <f>COUNTA(U64:U66)</f>
        <v>3</v>
      </c>
    </row>
    <row r="68" spans="1:21" ht="19.5" customHeight="1">
      <c r="A68" s="131" t="s">
        <v>45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</row>
    <row r="69" spans="1:21" ht="27.75" customHeight="1">
      <c r="A69" s="123" t="s">
        <v>26</v>
      </c>
      <c r="B69" s="125" t="s">
        <v>25</v>
      </c>
      <c r="C69" s="126"/>
      <c r="D69" s="126"/>
      <c r="E69" s="126"/>
      <c r="F69" s="126"/>
      <c r="G69" s="126"/>
      <c r="H69" s="126"/>
      <c r="I69" s="127"/>
      <c r="J69" s="132" t="s">
        <v>39</v>
      </c>
      <c r="K69" s="107" t="s">
        <v>23</v>
      </c>
      <c r="L69" s="107"/>
      <c r="M69" s="107"/>
      <c r="N69" s="107"/>
      <c r="O69" s="107" t="s">
        <v>40</v>
      </c>
      <c r="P69" s="108"/>
      <c r="Q69" s="108"/>
      <c r="R69" s="107" t="s">
        <v>22</v>
      </c>
      <c r="S69" s="107"/>
      <c r="T69" s="107"/>
      <c r="U69" s="107" t="s">
        <v>21</v>
      </c>
    </row>
    <row r="70" spans="1:21" ht="12.75" customHeight="1">
      <c r="A70" s="124"/>
      <c r="B70" s="128"/>
      <c r="C70" s="129"/>
      <c r="D70" s="129"/>
      <c r="E70" s="129"/>
      <c r="F70" s="129"/>
      <c r="G70" s="129"/>
      <c r="H70" s="129"/>
      <c r="I70" s="130"/>
      <c r="J70" s="133"/>
      <c r="K70" s="4" t="s">
        <v>27</v>
      </c>
      <c r="L70" s="4" t="s">
        <v>28</v>
      </c>
      <c r="M70" s="51" t="s">
        <v>98</v>
      </c>
      <c r="N70" s="4" t="s">
        <v>99</v>
      </c>
      <c r="O70" s="4" t="s">
        <v>32</v>
      </c>
      <c r="P70" s="4" t="s">
        <v>7</v>
      </c>
      <c r="Q70" s="4" t="s">
        <v>29</v>
      </c>
      <c r="R70" s="4" t="s">
        <v>30</v>
      </c>
      <c r="S70" s="4" t="s">
        <v>27</v>
      </c>
      <c r="T70" s="4" t="s">
        <v>31</v>
      </c>
      <c r="U70" s="107"/>
    </row>
    <row r="71" spans="1:21">
      <c r="A71" s="191" t="s">
        <v>157</v>
      </c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</row>
    <row r="72" spans="1:21">
      <c r="A72" s="100" t="s">
        <v>149</v>
      </c>
      <c r="B72" s="139" t="s">
        <v>150</v>
      </c>
      <c r="C72" s="139"/>
      <c r="D72" s="139"/>
      <c r="E72" s="139"/>
      <c r="F72" s="139"/>
      <c r="G72" s="139"/>
      <c r="H72" s="139"/>
      <c r="I72" s="139"/>
      <c r="J72" s="101">
        <v>7</v>
      </c>
      <c r="K72" s="101">
        <v>2</v>
      </c>
      <c r="L72" s="101">
        <v>1</v>
      </c>
      <c r="M72" s="101">
        <v>0</v>
      </c>
      <c r="N72" s="101">
        <v>1</v>
      </c>
      <c r="O72" s="92">
        <f t="shared" ref="O72:O75" si="4">K72+L72+M72+N72</f>
        <v>4</v>
      </c>
      <c r="P72" s="93">
        <f t="shared" ref="P72:P75" si="5">Q72-O72</f>
        <v>9</v>
      </c>
      <c r="Q72" s="93">
        <f t="shared" ref="Q72:Q75" si="6">ROUND(PRODUCT(J72,25)/14,0)</f>
        <v>13</v>
      </c>
      <c r="R72" s="101" t="s">
        <v>30</v>
      </c>
      <c r="S72" s="101"/>
      <c r="T72" s="102"/>
      <c r="U72" s="89" t="s">
        <v>37</v>
      </c>
    </row>
    <row r="73" spans="1:21">
      <c r="A73" s="100" t="s">
        <v>151</v>
      </c>
      <c r="B73" s="139" t="s">
        <v>152</v>
      </c>
      <c r="C73" s="139"/>
      <c r="D73" s="139"/>
      <c r="E73" s="139"/>
      <c r="F73" s="139"/>
      <c r="G73" s="139"/>
      <c r="H73" s="139"/>
      <c r="I73" s="139"/>
      <c r="J73" s="101">
        <v>7</v>
      </c>
      <c r="K73" s="101">
        <v>2</v>
      </c>
      <c r="L73" s="101">
        <v>1</v>
      </c>
      <c r="M73" s="101">
        <v>0</v>
      </c>
      <c r="N73" s="101">
        <v>1</v>
      </c>
      <c r="O73" s="92">
        <f t="shared" si="4"/>
        <v>4</v>
      </c>
      <c r="P73" s="93">
        <f t="shared" si="5"/>
        <v>9</v>
      </c>
      <c r="Q73" s="93">
        <f t="shared" si="6"/>
        <v>13</v>
      </c>
      <c r="R73" s="101" t="s">
        <v>30</v>
      </c>
      <c r="S73" s="101"/>
      <c r="T73" s="102"/>
      <c r="U73" s="89" t="s">
        <v>37</v>
      </c>
    </row>
    <row r="74" spans="1:21" s="72" customFormat="1">
      <c r="A74" s="100" t="s">
        <v>153</v>
      </c>
      <c r="B74" s="139" t="s">
        <v>154</v>
      </c>
      <c r="C74" s="139"/>
      <c r="D74" s="139"/>
      <c r="E74" s="139"/>
      <c r="F74" s="139"/>
      <c r="G74" s="139"/>
      <c r="H74" s="139"/>
      <c r="I74" s="139"/>
      <c r="J74" s="101">
        <v>7</v>
      </c>
      <c r="K74" s="101">
        <v>2</v>
      </c>
      <c r="L74" s="101">
        <v>1</v>
      </c>
      <c r="M74" s="101">
        <v>0</v>
      </c>
      <c r="N74" s="101">
        <v>1</v>
      </c>
      <c r="O74" s="92">
        <f t="shared" si="4"/>
        <v>4</v>
      </c>
      <c r="P74" s="93">
        <f t="shared" si="5"/>
        <v>9</v>
      </c>
      <c r="Q74" s="93">
        <f t="shared" si="6"/>
        <v>13</v>
      </c>
      <c r="R74" s="101" t="s">
        <v>30</v>
      </c>
      <c r="S74" s="101"/>
      <c r="T74" s="102"/>
      <c r="U74" s="89" t="s">
        <v>37</v>
      </c>
    </row>
    <row r="75" spans="1:21">
      <c r="A75" s="100" t="s">
        <v>155</v>
      </c>
      <c r="B75" s="139" t="s">
        <v>156</v>
      </c>
      <c r="C75" s="139"/>
      <c r="D75" s="139"/>
      <c r="E75" s="139"/>
      <c r="F75" s="139"/>
      <c r="G75" s="139"/>
      <c r="H75" s="139"/>
      <c r="I75" s="139"/>
      <c r="J75" s="101">
        <v>7</v>
      </c>
      <c r="K75" s="101">
        <v>2</v>
      </c>
      <c r="L75" s="101">
        <v>1</v>
      </c>
      <c r="M75" s="101">
        <v>0</v>
      </c>
      <c r="N75" s="101">
        <v>1</v>
      </c>
      <c r="O75" s="92">
        <f t="shared" si="4"/>
        <v>4</v>
      </c>
      <c r="P75" s="93">
        <f t="shared" si="5"/>
        <v>9</v>
      </c>
      <c r="Q75" s="93">
        <f t="shared" si="6"/>
        <v>13</v>
      </c>
      <c r="R75" s="101" t="s">
        <v>30</v>
      </c>
      <c r="S75" s="101"/>
      <c r="T75" s="102"/>
      <c r="U75" s="89" t="s">
        <v>37</v>
      </c>
    </row>
    <row r="76" spans="1:21">
      <c r="A76" s="192" t="s">
        <v>158</v>
      </c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</row>
    <row r="77" spans="1:21">
      <c r="A77" s="100" t="s">
        <v>102</v>
      </c>
      <c r="B77" s="139" t="s">
        <v>159</v>
      </c>
      <c r="C77" s="139"/>
      <c r="D77" s="139"/>
      <c r="E77" s="139"/>
      <c r="F77" s="139"/>
      <c r="G77" s="139"/>
      <c r="H77" s="139"/>
      <c r="I77" s="139"/>
      <c r="J77" s="101">
        <v>7</v>
      </c>
      <c r="K77" s="101">
        <v>2</v>
      </c>
      <c r="L77" s="101">
        <v>1</v>
      </c>
      <c r="M77" s="101">
        <v>0</v>
      </c>
      <c r="N77" s="101">
        <v>1</v>
      </c>
      <c r="O77" s="92">
        <f t="shared" ref="O77:O79" si="7">K77+L77+M77+N77</f>
        <v>4</v>
      </c>
      <c r="P77" s="93">
        <f t="shared" ref="P77:P79" si="8">Q77-O77</f>
        <v>9</v>
      </c>
      <c r="Q77" s="93">
        <f t="shared" ref="Q77:Q79" si="9">ROUND(PRODUCT(J77,25)/14,0)</f>
        <v>13</v>
      </c>
      <c r="R77" s="101" t="s">
        <v>30</v>
      </c>
      <c r="S77" s="101"/>
      <c r="T77" s="102"/>
      <c r="U77" s="89" t="s">
        <v>37</v>
      </c>
    </row>
    <row r="78" spans="1:21">
      <c r="A78" s="100" t="s">
        <v>160</v>
      </c>
      <c r="B78" s="139" t="s">
        <v>161</v>
      </c>
      <c r="C78" s="139"/>
      <c r="D78" s="139"/>
      <c r="E78" s="139"/>
      <c r="F78" s="139"/>
      <c r="G78" s="139"/>
      <c r="H78" s="139"/>
      <c r="I78" s="139"/>
      <c r="J78" s="101">
        <v>7</v>
      </c>
      <c r="K78" s="101">
        <v>2</v>
      </c>
      <c r="L78" s="101">
        <v>1</v>
      </c>
      <c r="M78" s="101">
        <v>0</v>
      </c>
      <c r="N78" s="101">
        <v>1</v>
      </c>
      <c r="O78" s="92">
        <f t="shared" si="7"/>
        <v>4</v>
      </c>
      <c r="P78" s="93">
        <f t="shared" si="8"/>
        <v>9</v>
      </c>
      <c r="Q78" s="93">
        <f t="shared" si="9"/>
        <v>13</v>
      </c>
      <c r="R78" s="101" t="s">
        <v>30</v>
      </c>
      <c r="S78" s="101"/>
      <c r="T78" s="102"/>
      <c r="U78" s="89" t="s">
        <v>37</v>
      </c>
    </row>
    <row r="79" spans="1:21">
      <c r="A79" s="100" t="s">
        <v>162</v>
      </c>
      <c r="B79" s="139" t="s">
        <v>163</v>
      </c>
      <c r="C79" s="139"/>
      <c r="D79" s="139"/>
      <c r="E79" s="139"/>
      <c r="F79" s="139"/>
      <c r="G79" s="139"/>
      <c r="H79" s="139"/>
      <c r="I79" s="139"/>
      <c r="J79" s="101">
        <v>7</v>
      </c>
      <c r="K79" s="101">
        <v>2</v>
      </c>
      <c r="L79" s="101">
        <v>1</v>
      </c>
      <c r="M79" s="101">
        <v>0</v>
      </c>
      <c r="N79" s="101">
        <v>1</v>
      </c>
      <c r="O79" s="92">
        <f t="shared" si="7"/>
        <v>4</v>
      </c>
      <c r="P79" s="93">
        <f t="shared" si="8"/>
        <v>9</v>
      </c>
      <c r="Q79" s="93">
        <f t="shared" si="9"/>
        <v>13</v>
      </c>
      <c r="R79" s="101" t="s">
        <v>30</v>
      </c>
      <c r="S79" s="101"/>
      <c r="T79" s="102"/>
      <c r="U79" s="89" t="s">
        <v>37</v>
      </c>
    </row>
    <row r="80" spans="1:21">
      <c r="A80" s="192" t="s">
        <v>46</v>
      </c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</row>
    <row r="81" spans="1:21">
      <c r="A81" s="100" t="s">
        <v>164</v>
      </c>
      <c r="B81" s="139" t="s">
        <v>165</v>
      </c>
      <c r="C81" s="139"/>
      <c r="D81" s="139"/>
      <c r="E81" s="139"/>
      <c r="F81" s="139"/>
      <c r="G81" s="139"/>
      <c r="H81" s="139"/>
      <c r="I81" s="139"/>
      <c r="J81" s="101">
        <v>7</v>
      </c>
      <c r="K81" s="101">
        <v>2</v>
      </c>
      <c r="L81" s="101">
        <v>1</v>
      </c>
      <c r="M81" s="101">
        <v>0</v>
      </c>
      <c r="N81" s="101">
        <v>1</v>
      </c>
      <c r="O81" s="92">
        <f t="shared" ref="O81:O83" si="10">K81+L81+M81+N81</f>
        <v>4</v>
      </c>
      <c r="P81" s="93">
        <f t="shared" ref="P81:P83" si="11">Q81-O81</f>
        <v>9</v>
      </c>
      <c r="Q81" s="93">
        <f t="shared" ref="Q81:Q83" si="12">ROUND(PRODUCT(J81,25)/14,0)</f>
        <v>13</v>
      </c>
      <c r="R81" s="101" t="s">
        <v>30</v>
      </c>
      <c r="S81" s="101"/>
      <c r="T81" s="102"/>
      <c r="U81" s="89" t="s">
        <v>38</v>
      </c>
    </row>
    <row r="82" spans="1:21">
      <c r="A82" s="100" t="s">
        <v>166</v>
      </c>
      <c r="B82" s="139" t="s">
        <v>167</v>
      </c>
      <c r="C82" s="139"/>
      <c r="D82" s="139"/>
      <c r="E82" s="139"/>
      <c r="F82" s="139"/>
      <c r="G82" s="139"/>
      <c r="H82" s="139"/>
      <c r="I82" s="139"/>
      <c r="J82" s="101">
        <v>7</v>
      </c>
      <c r="K82" s="101">
        <v>2</v>
      </c>
      <c r="L82" s="101">
        <v>1</v>
      </c>
      <c r="M82" s="101">
        <v>0</v>
      </c>
      <c r="N82" s="101">
        <v>1</v>
      </c>
      <c r="O82" s="92">
        <f t="shared" si="10"/>
        <v>4</v>
      </c>
      <c r="P82" s="93">
        <f t="shared" si="11"/>
        <v>9</v>
      </c>
      <c r="Q82" s="93">
        <f t="shared" si="12"/>
        <v>13</v>
      </c>
      <c r="R82" s="101" t="s">
        <v>30</v>
      </c>
      <c r="S82" s="101"/>
      <c r="T82" s="102"/>
      <c r="U82" s="89" t="s">
        <v>38</v>
      </c>
    </row>
    <row r="83" spans="1:21" s="76" customFormat="1">
      <c r="A83" s="100" t="s">
        <v>168</v>
      </c>
      <c r="B83" s="139" t="s">
        <v>169</v>
      </c>
      <c r="C83" s="139"/>
      <c r="D83" s="139"/>
      <c r="E83" s="139"/>
      <c r="F83" s="139"/>
      <c r="G83" s="139"/>
      <c r="H83" s="139"/>
      <c r="I83" s="139"/>
      <c r="J83" s="101">
        <v>7</v>
      </c>
      <c r="K83" s="101">
        <v>2</v>
      </c>
      <c r="L83" s="101">
        <v>1</v>
      </c>
      <c r="M83" s="101">
        <v>0</v>
      </c>
      <c r="N83" s="101">
        <v>1</v>
      </c>
      <c r="O83" s="92">
        <f t="shared" si="10"/>
        <v>4</v>
      </c>
      <c r="P83" s="93">
        <f t="shared" si="11"/>
        <v>9</v>
      </c>
      <c r="Q83" s="93">
        <f t="shared" si="12"/>
        <v>13</v>
      </c>
      <c r="R83" s="101" t="s">
        <v>30</v>
      </c>
      <c r="S83" s="101"/>
      <c r="T83" s="102"/>
      <c r="U83" s="89" t="s">
        <v>38</v>
      </c>
    </row>
    <row r="84" spans="1:21" hidden="1">
      <c r="A84" s="188" t="s">
        <v>47</v>
      </c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90"/>
    </row>
    <row r="85" spans="1:21" hidden="1">
      <c r="A85" s="27"/>
      <c r="B85" s="134"/>
      <c r="C85" s="134"/>
      <c r="D85" s="134"/>
      <c r="E85" s="134"/>
      <c r="F85" s="134"/>
      <c r="G85" s="134"/>
      <c r="H85" s="134"/>
      <c r="I85" s="134"/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57">
        <f>K85+L85+M85+N85</f>
        <v>0</v>
      </c>
      <c r="P85" s="17">
        <f t="shared" ref="P85:P87" si="13">Q85-O85</f>
        <v>0</v>
      </c>
      <c r="Q85" s="17">
        <f>ROUND(PRODUCT(J85,25)/12,0)</f>
        <v>0</v>
      </c>
      <c r="R85" s="22"/>
      <c r="S85" s="22"/>
      <c r="T85" s="23"/>
      <c r="U85" s="10"/>
    </row>
    <row r="86" spans="1:21" hidden="1">
      <c r="A86" s="29"/>
      <c r="B86" s="134"/>
      <c r="C86" s="134"/>
      <c r="D86" s="134"/>
      <c r="E86" s="134"/>
      <c r="F86" s="134"/>
      <c r="G86" s="134"/>
      <c r="H86" s="134"/>
      <c r="I86" s="134"/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57">
        <f>K86+L86+M86+N86</f>
        <v>0</v>
      </c>
      <c r="P86" s="17">
        <f t="shared" si="13"/>
        <v>0</v>
      </c>
      <c r="Q86" s="17">
        <f>ROUND(PRODUCT(J86,25)/12,0)</f>
        <v>0</v>
      </c>
      <c r="R86" s="22"/>
      <c r="S86" s="22"/>
      <c r="T86" s="23"/>
      <c r="U86" s="10"/>
    </row>
    <row r="87" spans="1:21" hidden="1">
      <c r="A87" s="29"/>
      <c r="B87" s="134"/>
      <c r="C87" s="134"/>
      <c r="D87" s="134"/>
      <c r="E87" s="134"/>
      <c r="F87" s="134"/>
      <c r="G87" s="134"/>
      <c r="H87" s="134"/>
      <c r="I87" s="134"/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57">
        <f>K87+L87+M87+N87</f>
        <v>0</v>
      </c>
      <c r="P87" s="17">
        <f t="shared" si="13"/>
        <v>0</v>
      </c>
      <c r="Q87" s="17">
        <f>ROUND(PRODUCT(J87,25)/12,0)</f>
        <v>0</v>
      </c>
      <c r="R87" s="22"/>
      <c r="S87" s="22"/>
      <c r="T87" s="23"/>
      <c r="U87" s="10"/>
    </row>
    <row r="88" spans="1:21" ht="24.75" customHeight="1">
      <c r="A88" s="179" t="s">
        <v>49</v>
      </c>
      <c r="B88" s="180"/>
      <c r="C88" s="180"/>
      <c r="D88" s="180"/>
      <c r="E88" s="180"/>
      <c r="F88" s="180"/>
      <c r="G88" s="180"/>
      <c r="H88" s="180"/>
      <c r="I88" s="181"/>
      <c r="J88" s="21">
        <f t="shared" ref="J88:Q88" si="14">SUM(J72,J77,J81,J85)</f>
        <v>21</v>
      </c>
      <c r="K88" s="21">
        <f t="shared" si="14"/>
        <v>6</v>
      </c>
      <c r="L88" s="21">
        <f t="shared" si="14"/>
        <v>3</v>
      </c>
      <c r="M88" s="60">
        <f t="shared" si="14"/>
        <v>0</v>
      </c>
      <c r="N88" s="21">
        <f t="shared" si="14"/>
        <v>3</v>
      </c>
      <c r="O88" s="21">
        <f t="shared" si="14"/>
        <v>12</v>
      </c>
      <c r="P88" s="21">
        <f t="shared" si="14"/>
        <v>27</v>
      </c>
      <c r="Q88" s="21">
        <f t="shared" si="14"/>
        <v>39</v>
      </c>
      <c r="R88" s="21">
        <f>COUNTIF(R72,"E")+COUNTIF(R77,"E")+COUNTIF(R81,"E")+COUNTIF(R85,"E")</f>
        <v>3</v>
      </c>
      <c r="S88" s="21">
        <f>COUNTIF(S72,"C")+COUNTIF(S77,"C")+COUNTIF(S81,"C")+COUNTIF(S85,"C")</f>
        <v>0</v>
      </c>
      <c r="T88" s="21">
        <f>COUNTIF(T72,"VP")+COUNTIF(T77,"VP")+COUNTIF(T81,"VP")+COUNTIF(T85,"VP")</f>
        <v>0</v>
      </c>
      <c r="U88" s="24"/>
    </row>
    <row r="89" spans="1:21" ht="13.5" customHeight="1">
      <c r="A89" s="182" t="s">
        <v>50</v>
      </c>
      <c r="B89" s="183"/>
      <c r="C89" s="183"/>
      <c r="D89" s="183"/>
      <c r="E89" s="183"/>
      <c r="F89" s="183"/>
      <c r="G89" s="183"/>
      <c r="H89" s="183"/>
      <c r="I89" s="183"/>
      <c r="J89" s="184"/>
      <c r="K89" s="21">
        <f t="shared" ref="K89:Q89" si="15">SUM(K72,K77,K81)*14+K85*12</f>
        <v>84</v>
      </c>
      <c r="L89" s="21">
        <f t="shared" si="15"/>
        <v>42</v>
      </c>
      <c r="M89" s="60">
        <f t="shared" si="15"/>
        <v>0</v>
      </c>
      <c r="N89" s="21">
        <f t="shared" si="15"/>
        <v>42</v>
      </c>
      <c r="O89" s="21">
        <f t="shared" si="15"/>
        <v>168</v>
      </c>
      <c r="P89" s="21">
        <f t="shared" si="15"/>
        <v>378</v>
      </c>
      <c r="Q89" s="21">
        <f t="shared" si="15"/>
        <v>546</v>
      </c>
      <c r="R89" s="173"/>
      <c r="S89" s="174"/>
      <c r="T89" s="174"/>
      <c r="U89" s="175"/>
    </row>
    <row r="90" spans="1:21">
      <c r="A90" s="185"/>
      <c r="B90" s="186"/>
      <c r="C90" s="186"/>
      <c r="D90" s="186"/>
      <c r="E90" s="186"/>
      <c r="F90" s="186"/>
      <c r="G90" s="186"/>
      <c r="H90" s="186"/>
      <c r="I90" s="186"/>
      <c r="J90" s="187"/>
      <c r="K90" s="143">
        <f>SUM(K89:N89)</f>
        <v>168</v>
      </c>
      <c r="L90" s="144"/>
      <c r="M90" s="144"/>
      <c r="N90" s="145"/>
      <c r="O90" s="146">
        <f>SUM(O89:P89)</f>
        <v>546</v>
      </c>
      <c r="P90" s="147"/>
      <c r="Q90" s="148"/>
      <c r="R90" s="176"/>
      <c r="S90" s="177"/>
      <c r="T90" s="177"/>
      <c r="U90" s="178"/>
    </row>
    <row r="91" spans="1:2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2"/>
      <c r="L91" s="12"/>
      <c r="M91" s="54"/>
      <c r="N91" s="12"/>
      <c r="O91" s="13"/>
      <c r="P91" s="13"/>
      <c r="Q91" s="13"/>
      <c r="R91" s="14"/>
      <c r="S91" s="14"/>
      <c r="T91" s="14"/>
      <c r="U91" s="14"/>
    </row>
    <row r="92" spans="1:21" s="49" customFormat="1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4"/>
      <c r="L92" s="54"/>
      <c r="M92" s="54"/>
      <c r="N92" s="54"/>
      <c r="O92" s="55"/>
      <c r="P92" s="55"/>
      <c r="Q92" s="55"/>
      <c r="R92" s="56"/>
      <c r="S92" s="56"/>
      <c r="T92" s="56"/>
      <c r="U92" s="56"/>
    </row>
    <row r="93" spans="1:21" s="49" customFormat="1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4"/>
      <c r="L93" s="54"/>
      <c r="M93" s="54"/>
      <c r="N93" s="54"/>
      <c r="O93" s="55"/>
      <c r="P93" s="55"/>
      <c r="Q93" s="55"/>
      <c r="R93" s="56"/>
      <c r="S93" s="56"/>
      <c r="T93" s="56"/>
      <c r="U93" s="56"/>
    </row>
    <row r="94" spans="1:21" s="49" customFormat="1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4"/>
      <c r="L94" s="54"/>
      <c r="M94" s="54"/>
      <c r="N94" s="54"/>
      <c r="O94" s="55"/>
      <c r="P94" s="55"/>
      <c r="Q94" s="55"/>
      <c r="R94" s="56"/>
      <c r="S94" s="56"/>
      <c r="T94" s="56"/>
      <c r="U94" s="56"/>
    </row>
    <row r="95" spans="1:21" s="49" customFormat="1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4"/>
      <c r="L95" s="54"/>
      <c r="M95" s="54"/>
      <c r="N95" s="54"/>
      <c r="O95" s="55"/>
      <c r="P95" s="55"/>
      <c r="Q95" s="55"/>
      <c r="R95" s="56"/>
      <c r="S95" s="56"/>
      <c r="T95" s="56"/>
      <c r="U95" s="56"/>
    </row>
    <row r="96" spans="1:21" s="49" customFormat="1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4"/>
      <c r="L96" s="54"/>
      <c r="M96" s="54"/>
      <c r="N96" s="54"/>
      <c r="O96" s="55"/>
      <c r="P96" s="55"/>
      <c r="Q96" s="55"/>
      <c r="R96" s="56"/>
      <c r="S96" s="56"/>
      <c r="T96" s="56"/>
      <c r="U96" s="56"/>
    </row>
    <row r="97" spans="1:21" s="49" customFormat="1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4"/>
      <c r="L97" s="54"/>
      <c r="M97" s="54"/>
      <c r="N97" s="54"/>
      <c r="O97" s="55"/>
      <c r="P97" s="55"/>
      <c r="Q97" s="55"/>
      <c r="R97" s="56"/>
      <c r="S97" s="56"/>
      <c r="T97" s="56"/>
      <c r="U97" s="56"/>
    </row>
    <row r="98" spans="1:21">
      <c r="B98" s="2"/>
      <c r="C98" s="2"/>
      <c r="D98" s="2"/>
      <c r="E98" s="2"/>
      <c r="F98" s="2"/>
      <c r="G98" s="2"/>
      <c r="N98" s="7"/>
      <c r="O98" s="7"/>
      <c r="P98" s="7"/>
      <c r="Q98" s="7"/>
      <c r="R98" s="7"/>
      <c r="S98" s="7"/>
      <c r="T98" s="7"/>
    </row>
    <row r="99" spans="1:21" ht="24" customHeight="1">
      <c r="A99" s="129" t="s">
        <v>51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</row>
    <row r="100" spans="1:21" ht="16.5" customHeight="1">
      <c r="A100" s="111" t="s">
        <v>53</v>
      </c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3"/>
    </row>
    <row r="101" spans="1:21" ht="34.5" customHeight="1">
      <c r="A101" s="117" t="s">
        <v>26</v>
      </c>
      <c r="B101" s="117" t="s">
        <v>25</v>
      </c>
      <c r="C101" s="117"/>
      <c r="D101" s="117"/>
      <c r="E101" s="117"/>
      <c r="F101" s="117"/>
      <c r="G101" s="117"/>
      <c r="H101" s="117"/>
      <c r="I101" s="117"/>
      <c r="J101" s="119" t="s">
        <v>39</v>
      </c>
      <c r="K101" s="119" t="s">
        <v>23</v>
      </c>
      <c r="L101" s="119"/>
      <c r="M101" s="119"/>
      <c r="N101" s="119"/>
      <c r="O101" s="119" t="s">
        <v>40</v>
      </c>
      <c r="P101" s="119"/>
      <c r="Q101" s="119"/>
      <c r="R101" s="119" t="s">
        <v>22</v>
      </c>
      <c r="S101" s="119"/>
      <c r="T101" s="119"/>
      <c r="U101" s="119" t="s">
        <v>21</v>
      </c>
    </row>
    <row r="102" spans="1:21">
      <c r="A102" s="117"/>
      <c r="B102" s="117"/>
      <c r="C102" s="117"/>
      <c r="D102" s="117"/>
      <c r="E102" s="117"/>
      <c r="F102" s="117"/>
      <c r="G102" s="117"/>
      <c r="H102" s="117"/>
      <c r="I102" s="117"/>
      <c r="J102" s="119"/>
      <c r="K102" s="26" t="s">
        <v>27</v>
      </c>
      <c r="L102" s="26" t="s">
        <v>28</v>
      </c>
      <c r="M102" s="61" t="s">
        <v>98</v>
      </c>
      <c r="N102" s="26" t="s">
        <v>99</v>
      </c>
      <c r="O102" s="26" t="s">
        <v>32</v>
      </c>
      <c r="P102" s="26" t="s">
        <v>7</v>
      </c>
      <c r="Q102" s="26" t="s">
        <v>29</v>
      </c>
      <c r="R102" s="26" t="s">
        <v>30</v>
      </c>
      <c r="S102" s="26" t="s">
        <v>27</v>
      </c>
      <c r="T102" s="26" t="s">
        <v>31</v>
      </c>
      <c r="U102" s="119"/>
    </row>
    <row r="103" spans="1:21" ht="17.25" customHeight="1">
      <c r="A103" s="111" t="s">
        <v>64</v>
      </c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3"/>
    </row>
    <row r="104" spans="1:21">
      <c r="A104" s="28" t="str">
        <f t="shared" ref="A104:A110" si="16">IF(ISNA(INDEX($A$36:$U$98,MATCH($B104,$B$36:$B$98,0),1)),"",INDEX($A$36:$U$98,MATCH($B104,$B$36:$B$98,0),1))</f>
        <v>MME9001</v>
      </c>
      <c r="B104" s="109" t="s">
        <v>97</v>
      </c>
      <c r="C104" s="109"/>
      <c r="D104" s="109"/>
      <c r="E104" s="109"/>
      <c r="F104" s="109"/>
      <c r="G104" s="109"/>
      <c r="H104" s="109"/>
      <c r="I104" s="109"/>
      <c r="J104" s="93">
        <f t="shared" ref="J104:J110" si="17">IF(ISNA(INDEX($A$37:$U$141,MATCH($B104,$B$37:$B$141,0),10)),"",INDEX($A$37:$U$141,MATCH($B104,$B$37:$B$141,0),10))</f>
        <v>4</v>
      </c>
      <c r="K104" s="93">
        <f t="shared" ref="K104:K110" si="18">IF(ISNA(INDEX($A$37:$U$141,MATCH($B104,$B$37:$B$141,0),11)),"",INDEX($A$37:$U$141,MATCH($B104,$B$37:$B$141,0),11))</f>
        <v>2</v>
      </c>
      <c r="L104" s="93">
        <f t="shared" ref="L104:L110" si="19">IF(ISNA(INDEX($A$37:$U$141,MATCH($B104,$B$37:$B$141,0),12)),"",INDEX($A$37:$U$141,MATCH($B104,$B$37:$B$141,0),12))</f>
        <v>1</v>
      </c>
      <c r="M104" s="93">
        <f t="shared" ref="M104:M110" si="20">IF(ISNA(INDEX($A$37:$U$141,MATCH($B104,$B$37:$B$141,0),13)),"",INDEX($A$37:$U$141,MATCH($B104,$B$37:$B$141,0),13))</f>
        <v>0</v>
      </c>
      <c r="N104" s="93">
        <f t="shared" ref="N104:N110" si="21">IF(ISNA(INDEX($A$37:$U$141,MATCH($B104,$B$37:$B$141,0),14)),"",INDEX($A$37:$U$141,MATCH($B104,$B$37:$B$141,0),14))</f>
        <v>0</v>
      </c>
      <c r="O104" s="93">
        <f t="shared" ref="O104:O110" si="22">IF(ISNA(INDEX($A$37:$U$141,MATCH($B104,$B$37:$B$141,0),15)),"",INDEX($A$37:$U$141,MATCH($B104,$B$37:$B$141,0),15))</f>
        <v>3</v>
      </c>
      <c r="P104" s="93">
        <f t="shared" ref="P104:P110" si="23">IF(ISNA(INDEX($A$37:$U$141,MATCH($B104,$B$37:$B$141,0),16)),"",INDEX($A$37:$U$141,MATCH($B104,$B$37:$B$141,0),16))</f>
        <v>4</v>
      </c>
      <c r="Q104" s="93">
        <f t="shared" ref="Q104:Q110" si="24">IF(ISNA(INDEX($A$37:$U$141,MATCH($B104,$B$37:$B$141,0),17)),"",INDEX($A$37:$U$141,MATCH($B104,$B$37:$B$141,0),17))</f>
        <v>7</v>
      </c>
      <c r="R104" s="103">
        <f t="shared" ref="R104:R110" si="25">IF(ISNA(INDEX($A$37:$U$141,MATCH($B104,$B$37:$B$141,0),18)),"",INDEX($A$37:$U$141,MATCH($B104,$B$37:$B$141,0),18))</f>
        <v>0</v>
      </c>
      <c r="S104" s="103" t="str">
        <f t="shared" ref="S104:S110" si="26">IF(ISNA(INDEX($A$37:$U$141,MATCH($B104,$B$37:$B$141,0),19)),"",INDEX($A$37:$U$141,MATCH($B104,$B$37:$B$141,0),19))</f>
        <v>C</v>
      </c>
      <c r="T104" s="103">
        <f t="shared" ref="T104:T110" si="27">IF(ISNA(INDEX($A$37:$U$141,MATCH($B104,$B$37:$B$141,0),20)),"",INDEX($A$37:$U$141,MATCH($B104,$B$37:$B$141,0),20))</f>
        <v>0</v>
      </c>
      <c r="U104" s="104" t="s">
        <v>35</v>
      </c>
    </row>
    <row r="105" spans="1:21">
      <c r="A105" s="28" t="str">
        <f t="shared" si="16"/>
        <v>MME8028</v>
      </c>
      <c r="B105" s="109" t="s">
        <v>120</v>
      </c>
      <c r="C105" s="109"/>
      <c r="D105" s="109"/>
      <c r="E105" s="109"/>
      <c r="F105" s="109"/>
      <c r="G105" s="109"/>
      <c r="H105" s="109"/>
      <c r="I105" s="109"/>
      <c r="J105" s="93">
        <f t="shared" si="17"/>
        <v>7</v>
      </c>
      <c r="K105" s="93">
        <f t="shared" si="18"/>
        <v>2</v>
      </c>
      <c r="L105" s="93">
        <f t="shared" si="19"/>
        <v>1</v>
      </c>
      <c r="M105" s="93">
        <f t="shared" si="20"/>
        <v>0</v>
      </c>
      <c r="N105" s="93">
        <f t="shared" si="21"/>
        <v>1</v>
      </c>
      <c r="O105" s="93">
        <f t="shared" si="22"/>
        <v>4</v>
      </c>
      <c r="P105" s="93">
        <f t="shared" si="23"/>
        <v>9</v>
      </c>
      <c r="Q105" s="93">
        <f t="shared" si="24"/>
        <v>13</v>
      </c>
      <c r="R105" s="103" t="str">
        <f t="shared" si="25"/>
        <v>E</v>
      </c>
      <c r="S105" s="103">
        <f t="shared" si="26"/>
        <v>0</v>
      </c>
      <c r="T105" s="103">
        <f t="shared" si="27"/>
        <v>0</v>
      </c>
      <c r="U105" s="104" t="s">
        <v>35</v>
      </c>
    </row>
    <row r="106" spans="1:21">
      <c r="A106" s="28" t="str">
        <f t="shared" si="16"/>
        <v>MME8005</v>
      </c>
      <c r="B106" s="109" t="s">
        <v>122</v>
      </c>
      <c r="C106" s="109"/>
      <c r="D106" s="109"/>
      <c r="E106" s="109"/>
      <c r="F106" s="109"/>
      <c r="G106" s="109"/>
      <c r="H106" s="109"/>
      <c r="I106" s="109"/>
      <c r="J106" s="93">
        <f t="shared" si="17"/>
        <v>6</v>
      </c>
      <c r="K106" s="93">
        <f t="shared" si="18"/>
        <v>2</v>
      </c>
      <c r="L106" s="93">
        <f t="shared" si="19"/>
        <v>1</v>
      </c>
      <c r="M106" s="93">
        <f t="shared" si="20"/>
        <v>0</v>
      </c>
      <c r="N106" s="93">
        <f t="shared" si="21"/>
        <v>1</v>
      </c>
      <c r="O106" s="93">
        <f t="shared" si="22"/>
        <v>4</v>
      </c>
      <c r="P106" s="93">
        <f t="shared" si="23"/>
        <v>7</v>
      </c>
      <c r="Q106" s="93">
        <f t="shared" si="24"/>
        <v>11</v>
      </c>
      <c r="R106" s="103" t="str">
        <f t="shared" si="25"/>
        <v>E</v>
      </c>
      <c r="S106" s="103">
        <f t="shared" si="26"/>
        <v>0</v>
      </c>
      <c r="T106" s="103">
        <f t="shared" si="27"/>
        <v>0</v>
      </c>
      <c r="U106" s="104" t="s">
        <v>35</v>
      </c>
    </row>
    <row r="107" spans="1:21">
      <c r="A107" s="28" t="str">
        <f t="shared" si="16"/>
        <v>MME8006</v>
      </c>
      <c r="B107" s="109" t="s">
        <v>124</v>
      </c>
      <c r="C107" s="109"/>
      <c r="D107" s="109"/>
      <c r="E107" s="109"/>
      <c r="F107" s="109"/>
      <c r="G107" s="109"/>
      <c r="H107" s="109"/>
      <c r="I107" s="109"/>
      <c r="J107" s="93">
        <f t="shared" si="17"/>
        <v>6</v>
      </c>
      <c r="K107" s="93">
        <f t="shared" si="18"/>
        <v>2</v>
      </c>
      <c r="L107" s="93">
        <f t="shared" si="19"/>
        <v>1</v>
      </c>
      <c r="M107" s="93">
        <f t="shared" si="20"/>
        <v>0</v>
      </c>
      <c r="N107" s="93">
        <f t="shared" si="21"/>
        <v>1</v>
      </c>
      <c r="O107" s="93">
        <f t="shared" si="22"/>
        <v>4</v>
      </c>
      <c r="P107" s="93">
        <f t="shared" si="23"/>
        <v>7</v>
      </c>
      <c r="Q107" s="93">
        <f t="shared" si="24"/>
        <v>11</v>
      </c>
      <c r="R107" s="103" t="str">
        <f t="shared" si="25"/>
        <v>E</v>
      </c>
      <c r="S107" s="103">
        <f t="shared" si="26"/>
        <v>0</v>
      </c>
      <c r="T107" s="103">
        <f t="shared" si="27"/>
        <v>0</v>
      </c>
      <c r="U107" s="104" t="s">
        <v>35</v>
      </c>
    </row>
    <row r="108" spans="1:21">
      <c r="A108" s="28" t="str">
        <f t="shared" si="16"/>
        <v>MME8065</v>
      </c>
      <c r="B108" s="109" t="s">
        <v>128</v>
      </c>
      <c r="C108" s="109"/>
      <c r="D108" s="109"/>
      <c r="E108" s="109"/>
      <c r="F108" s="109"/>
      <c r="G108" s="109"/>
      <c r="H108" s="109"/>
      <c r="I108" s="109"/>
      <c r="J108" s="93">
        <f t="shared" si="17"/>
        <v>8</v>
      </c>
      <c r="K108" s="93">
        <f t="shared" si="18"/>
        <v>2</v>
      </c>
      <c r="L108" s="93">
        <f t="shared" si="19"/>
        <v>1</v>
      </c>
      <c r="M108" s="93">
        <f t="shared" si="20"/>
        <v>0</v>
      </c>
      <c r="N108" s="93">
        <f t="shared" si="21"/>
        <v>1</v>
      </c>
      <c r="O108" s="93">
        <f t="shared" si="22"/>
        <v>4</v>
      </c>
      <c r="P108" s="93">
        <f t="shared" si="23"/>
        <v>10</v>
      </c>
      <c r="Q108" s="93">
        <f t="shared" si="24"/>
        <v>14</v>
      </c>
      <c r="R108" s="103" t="str">
        <f t="shared" si="25"/>
        <v>E</v>
      </c>
      <c r="S108" s="103">
        <f t="shared" si="26"/>
        <v>0</v>
      </c>
      <c r="T108" s="103">
        <f t="shared" si="27"/>
        <v>0</v>
      </c>
      <c r="U108" s="104" t="s">
        <v>35</v>
      </c>
    </row>
    <row r="109" spans="1:21">
      <c r="A109" s="28" t="str">
        <f t="shared" si="16"/>
        <v>MME8023</v>
      </c>
      <c r="B109" s="109" t="s">
        <v>130</v>
      </c>
      <c r="C109" s="109"/>
      <c r="D109" s="109"/>
      <c r="E109" s="109"/>
      <c r="F109" s="109"/>
      <c r="G109" s="109"/>
      <c r="H109" s="109"/>
      <c r="I109" s="109"/>
      <c r="J109" s="93">
        <f t="shared" si="17"/>
        <v>8</v>
      </c>
      <c r="K109" s="93">
        <f t="shared" si="18"/>
        <v>2</v>
      </c>
      <c r="L109" s="93">
        <f t="shared" si="19"/>
        <v>1</v>
      </c>
      <c r="M109" s="93">
        <f t="shared" si="20"/>
        <v>0</v>
      </c>
      <c r="N109" s="93">
        <f t="shared" si="21"/>
        <v>1</v>
      </c>
      <c r="O109" s="93">
        <f t="shared" si="22"/>
        <v>4</v>
      </c>
      <c r="P109" s="93">
        <f t="shared" si="23"/>
        <v>10</v>
      </c>
      <c r="Q109" s="93">
        <f t="shared" si="24"/>
        <v>14</v>
      </c>
      <c r="R109" s="103" t="str">
        <f t="shared" si="25"/>
        <v>E</v>
      </c>
      <c r="S109" s="103">
        <f t="shared" si="26"/>
        <v>0</v>
      </c>
      <c r="T109" s="103">
        <f t="shared" si="27"/>
        <v>0</v>
      </c>
      <c r="U109" s="104" t="s">
        <v>35</v>
      </c>
    </row>
    <row r="110" spans="1:21">
      <c r="A110" s="28" t="str">
        <f t="shared" si="16"/>
        <v>MME8031</v>
      </c>
      <c r="B110" s="109" t="s">
        <v>132</v>
      </c>
      <c r="C110" s="109"/>
      <c r="D110" s="109"/>
      <c r="E110" s="109"/>
      <c r="F110" s="109"/>
      <c r="G110" s="109"/>
      <c r="H110" s="109"/>
      <c r="I110" s="109"/>
      <c r="J110" s="93">
        <f t="shared" si="17"/>
        <v>7</v>
      </c>
      <c r="K110" s="93">
        <f t="shared" si="18"/>
        <v>2</v>
      </c>
      <c r="L110" s="93">
        <f t="shared" si="19"/>
        <v>1</v>
      </c>
      <c r="M110" s="93">
        <f t="shared" si="20"/>
        <v>0</v>
      </c>
      <c r="N110" s="93">
        <f t="shared" si="21"/>
        <v>1</v>
      </c>
      <c r="O110" s="93">
        <f t="shared" si="22"/>
        <v>4</v>
      </c>
      <c r="P110" s="93">
        <f t="shared" si="23"/>
        <v>9</v>
      </c>
      <c r="Q110" s="93">
        <f t="shared" si="24"/>
        <v>13</v>
      </c>
      <c r="R110" s="103" t="str">
        <f t="shared" si="25"/>
        <v>E</v>
      </c>
      <c r="S110" s="103">
        <f t="shared" si="26"/>
        <v>0</v>
      </c>
      <c r="T110" s="103">
        <f t="shared" si="27"/>
        <v>0</v>
      </c>
      <c r="U110" s="104" t="s">
        <v>35</v>
      </c>
    </row>
    <row r="111" spans="1:21">
      <c r="A111" s="19" t="s">
        <v>24</v>
      </c>
      <c r="B111" s="114"/>
      <c r="C111" s="115"/>
      <c r="D111" s="115"/>
      <c r="E111" s="115"/>
      <c r="F111" s="115"/>
      <c r="G111" s="115"/>
      <c r="H111" s="115"/>
      <c r="I111" s="116"/>
      <c r="J111" s="21">
        <f>IF(ISNA(SUM(J104:J110)),"",SUM(J104:J110))</f>
        <v>46</v>
      </c>
      <c r="K111" s="21">
        <f>SUM(K104:K110)</f>
        <v>14</v>
      </c>
      <c r="L111" s="21">
        <f>SUM(L104:L110)</f>
        <v>7</v>
      </c>
      <c r="M111" s="60">
        <f t="shared" ref="M111:N111" si="28">SUM(M104:M110)</f>
        <v>0</v>
      </c>
      <c r="N111" s="60">
        <f t="shared" si="28"/>
        <v>6</v>
      </c>
      <c r="O111" s="21">
        <f>SUM(O104:O110)</f>
        <v>27</v>
      </c>
      <c r="P111" s="21">
        <f>SUM(P104:P110)</f>
        <v>56</v>
      </c>
      <c r="Q111" s="21">
        <f>SUM(Q104:Q110)</f>
        <v>83</v>
      </c>
      <c r="R111" s="19">
        <f>COUNTIF(R104:R110,"E")</f>
        <v>6</v>
      </c>
      <c r="S111" s="19">
        <f>COUNTIF(S104:S110,"C")</f>
        <v>1</v>
      </c>
      <c r="T111" s="19">
        <f>COUNTIF(T104:T110,"VP")</f>
        <v>0</v>
      </c>
      <c r="U111" s="18"/>
    </row>
    <row r="112" spans="1:21" ht="17.25" customHeight="1">
      <c r="A112" s="111" t="s">
        <v>65</v>
      </c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3"/>
    </row>
    <row r="113" spans="1:21">
      <c r="A113" s="28" t="str">
        <f>IF(ISNA(INDEX($A$36:$U$98,MATCH($B113,$B$36:$B$98,0),1)),"",INDEX($A$36:$U$98,MATCH($B113,$B$36:$B$98,0),1))</f>
        <v/>
      </c>
      <c r="B113" s="110"/>
      <c r="C113" s="110"/>
      <c r="D113" s="110"/>
      <c r="E113" s="110"/>
      <c r="F113" s="110"/>
      <c r="G113" s="110"/>
      <c r="H113" s="110"/>
      <c r="I113" s="110"/>
      <c r="J113" s="17" t="str">
        <f>IF(ISNA(INDEX($A$36:$U$98,MATCH($B113,$B$36:$B$98,0),10)),"",INDEX($A$36:$U$98,MATCH($B113,$B$36:$B$98,0),10))</f>
        <v/>
      </c>
      <c r="K113" s="17" t="str">
        <f>IF(ISNA(INDEX($A$36:$U$98,MATCH($B113,$B$36:$B$98,0),11)),"",INDEX($A$36:$U$98,MATCH($B113,$B$36:$B$98,0),11))</f>
        <v/>
      </c>
      <c r="L113" s="17" t="str">
        <f>IF(ISNA(INDEX($A$36:$U$98,MATCH($B113,$B$36:$B$98,0),12)),"",INDEX($A$36:$U$98,MATCH($B113,$B$36:$B$98,0),12))</f>
        <v/>
      </c>
      <c r="M113" s="58" t="str">
        <f>IF(ISNA(INDEX($A$36:$U$98,MATCH($B113,$B$36:$B$98,0),12)),"",INDEX($A$36:$U$98,MATCH($B113,$B$36:$B$98,0),12))</f>
        <v/>
      </c>
      <c r="N113" s="17" t="str">
        <f>IF(ISNA(INDEX($A$36:$U$98,MATCH($B113,$B$36:$B$98,0),13)),"",INDEX($A$36:$U$98,MATCH($B113,$B$36:$B$98,0),13))</f>
        <v/>
      </c>
      <c r="O113" s="17" t="str">
        <f>IF(ISNA(INDEX($A$36:$U$98,MATCH($B113,$B$36:$B$98,0),14)),"",INDEX($A$36:$U$98,MATCH($B113,$B$36:$B$98,0),14))</f>
        <v/>
      </c>
      <c r="P113" s="17" t="str">
        <f>IF(ISNA(INDEX($A$36:$U$98,MATCH($B113,$B$36:$B$98,0),15)),"",INDEX($A$36:$U$98,MATCH($B113,$B$36:$B$98,0),15))</f>
        <v/>
      </c>
      <c r="Q113" s="17" t="str">
        <f>IF(ISNA(INDEX($A$36:$U$98,MATCH($B113,$B$36:$B$98,0),16)),"",INDEX($A$36:$U$98,MATCH($B113,$B$36:$B$98,0),16))</f>
        <v/>
      </c>
      <c r="R113" s="25" t="str">
        <f>IF(ISNA(INDEX($A$36:$U$98,MATCH($B113,$B$36:$B$98,0),17)),"",INDEX($A$36:$U$98,MATCH($B113,$B$36:$B$98,0),17))</f>
        <v/>
      </c>
      <c r="S113" s="25" t="str">
        <f>IF(ISNA(INDEX($A$36:$U$98,MATCH($B113,$B$36:$B$98,0),18)),"",INDEX($A$36:$U$98,MATCH($B113,$B$36:$B$98,0),18))</f>
        <v/>
      </c>
      <c r="T113" s="25" t="str">
        <f>IF(ISNA(INDEX($A$36:$U$98,MATCH($B113,$B$36:$B$98,0),19)),"",INDEX($A$36:$U$98,MATCH($B113,$B$36:$B$98,0),19))</f>
        <v/>
      </c>
      <c r="U113" s="18" t="s">
        <v>35</v>
      </c>
    </row>
    <row r="114" spans="1:21">
      <c r="A114" s="19" t="s">
        <v>24</v>
      </c>
      <c r="B114" s="117"/>
      <c r="C114" s="117"/>
      <c r="D114" s="117"/>
      <c r="E114" s="117"/>
      <c r="F114" s="117"/>
      <c r="G114" s="117"/>
      <c r="H114" s="117"/>
      <c r="I114" s="117"/>
      <c r="J114" s="21">
        <f t="shared" ref="J114:Q114" si="29">SUM(J113:J113)</f>
        <v>0</v>
      </c>
      <c r="K114" s="21">
        <f t="shared" si="29"/>
        <v>0</v>
      </c>
      <c r="L114" s="21">
        <f t="shared" si="29"/>
        <v>0</v>
      </c>
      <c r="M114" s="60">
        <f t="shared" si="29"/>
        <v>0</v>
      </c>
      <c r="N114" s="21">
        <f t="shared" si="29"/>
        <v>0</v>
      </c>
      <c r="O114" s="21">
        <f t="shared" si="29"/>
        <v>0</v>
      </c>
      <c r="P114" s="21">
        <f t="shared" si="29"/>
        <v>0</v>
      </c>
      <c r="Q114" s="21">
        <f t="shared" si="29"/>
        <v>0</v>
      </c>
      <c r="R114" s="19">
        <f>COUNTIF(R113:R113,"E")</f>
        <v>0</v>
      </c>
      <c r="S114" s="19">
        <f>COUNTIF(S113:S113,"C")</f>
        <v>0</v>
      </c>
      <c r="T114" s="19">
        <f>COUNTIF(T113:T113,"VP")</f>
        <v>0</v>
      </c>
      <c r="U114" s="20"/>
    </row>
    <row r="115" spans="1:21" ht="27" customHeight="1">
      <c r="A115" s="179" t="s">
        <v>49</v>
      </c>
      <c r="B115" s="180"/>
      <c r="C115" s="180"/>
      <c r="D115" s="180"/>
      <c r="E115" s="180"/>
      <c r="F115" s="180"/>
      <c r="G115" s="180"/>
      <c r="H115" s="180"/>
      <c r="I115" s="181"/>
      <c r="J115" s="21">
        <f t="shared" ref="J115:T115" si="30">SUM(J111,J114)</f>
        <v>46</v>
      </c>
      <c r="K115" s="21">
        <f t="shared" si="30"/>
        <v>14</v>
      </c>
      <c r="L115" s="21">
        <f t="shared" si="30"/>
        <v>7</v>
      </c>
      <c r="M115" s="60">
        <f t="shared" si="30"/>
        <v>0</v>
      </c>
      <c r="N115" s="21">
        <f t="shared" si="30"/>
        <v>6</v>
      </c>
      <c r="O115" s="21">
        <f t="shared" si="30"/>
        <v>27</v>
      </c>
      <c r="P115" s="21">
        <f t="shared" si="30"/>
        <v>56</v>
      </c>
      <c r="Q115" s="21">
        <f t="shared" si="30"/>
        <v>83</v>
      </c>
      <c r="R115" s="21">
        <f t="shared" si="30"/>
        <v>6</v>
      </c>
      <c r="S115" s="21">
        <f t="shared" si="30"/>
        <v>1</v>
      </c>
      <c r="T115" s="21">
        <f t="shared" si="30"/>
        <v>0</v>
      </c>
      <c r="U115" s="71">
        <f>SUM(R115:T115)/16</f>
        <v>0.4375</v>
      </c>
    </row>
    <row r="116" spans="1:21">
      <c r="A116" s="182" t="s">
        <v>50</v>
      </c>
      <c r="B116" s="183"/>
      <c r="C116" s="183"/>
      <c r="D116" s="183"/>
      <c r="E116" s="183"/>
      <c r="F116" s="183"/>
      <c r="G116" s="183"/>
      <c r="H116" s="183"/>
      <c r="I116" s="183"/>
      <c r="J116" s="184"/>
      <c r="K116" s="21">
        <f t="shared" ref="K116:Q116" si="31">K111*14+K114*12</f>
        <v>196</v>
      </c>
      <c r="L116" s="21">
        <f t="shared" si="31"/>
        <v>98</v>
      </c>
      <c r="M116" s="60">
        <f t="shared" si="31"/>
        <v>0</v>
      </c>
      <c r="N116" s="21">
        <f t="shared" si="31"/>
        <v>84</v>
      </c>
      <c r="O116" s="21">
        <f t="shared" si="31"/>
        <v>378</v>
      </c>
      <c r="P116" s="21">
        <f t="shared" si="31"/>
        <v>784</v>
      </c>
      <c r="Q116" s="21">
        <f t="shared" si="31"/>
        <v>1162</v>
      </c>
      <c r="R116" s="173"/>
      <c r="S116" s="174"/>
      <c r="T116" s="174"/>
      <c r="U116" s="175"/>
    </row>
    <row r="117" spans="1:21">
      <c r="A117" s="185"/>
      <c r="B117" s="186"/>
      <c r="C117" s="186"/>
      <c r="D117" s="186"/>
      <c r="E117" s="186"/>
      <c r="F117" s="186"/>
      <c r="G117" s="186"/>
      <c r="H117" s="186"/>
      <c r="I117" s="186"/>
      <c r="J117" s="187"/>
      <c r="K117" s="143">
        <f>SUM(K116:N116)</f>
        <v>378</v>
      </c>
      <c r="L117" s="144"/>
      <c r="M117" s="144"/>
      <c r="N117" s="145"/>
      <c r="O117" s="146">
        <f>SUM(O116:P116)</f>
        <v>1162</v>
      </c>
      <c r="P117" s="147"/>
      <c r="Q117" s="148"/>
      <c r="R117" s="176"/>
      <c r="S117" s="177"/>
      <c r="T117" s="177"/>
      <c r="U117" s="178"/>
    </row>
    <row r="119" spans="1:21">
      <c r="B119" s="7"/>
      <c r="C119" s="7"/>
      <c r="D119" s="7"/>
      <c r="E119" s="7"/>
      <c r="F119" s="7"/>
      <c r="G119" s="7"/>
      <c r="H119" s="15"/>
      <c r="I119" s="15"/>
      <c r="J119" s="15"/>
      <c r="N119" s="7"/>
      <c r="O119" s="7"/>
      <c r="P119" s="7"/>
      <c r="Q119" s="7"/>
      <c r="R119" s="7"/>
      <c r="S119" s="7"/>
      <c r="T119" s="7"/>
    </row>
    <row r="120" spans="1:21" ht="23.25" customHeight="1">
      <c r="A120" s="117" t="s">
        <v>69</v>
      </c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</row>
    <row r="121" spans="1:21" ht="26.25" customHeight="1">
      <c r="A121" s="117" t="s">
        <v>26</v>
      </c>
      <c r="B121" s="117" t="s">
        <v>25</v>
      </c>
      <c r="C121" s="117"/>
      <c r="D121" s="117"/>
      <c r="E121" s="117"/>
      <c r="F121" s="117"/>
      <c r="G121" s="117"/>
      <c r="H121" s="117"/>
      <c r="I121" s="117"/>
      <c r="J121" s="119" t="s">
        <v>39</v>
      </c>
      <c r="K121" s="119" t="s">
        <v>23</v>
      </c>
      <c r="L121" s="119"/>
      <c r="M121" s="119"/>
      <c r="N121" s="119"/>
      <c r="O121" s="119" t="s">
        <v>40</v>
      </c>
      <c r="P121" s="119"/>
      <c r="Q121" s="119"/>
      <c r="R121" s="119" t="s">
        <v>22</v>
      </c>
      <c r="S121" s="119"/>
      <c r="T121" s="119"/>
      <c r="U121" s="119" t="s">
        <v>21</v>
      </c>
    </row>
    <row r="122" spans="1:21">
      <c r="A122" s="117"/>
      <c r="B122" s="117"/>
      <c r="C122" s="117"/>
      <c r="D122" s="117"/>
      <c r="E122" s="117"/>
      <c r="F122" s="117"/>
      <c r="G122" s="117"/>
      <c r="H122" s="117"/>
      <c r="I122" s="117"/>
      <c r="J122" s="119"/>
      <c r="K122" s="26" t="s">
        <v>27</v>
      </c>
      <c r="L122" s="26" t="s">
        <v>28</v>
      </c>
      <c r="M122" s="61" t="s">
        <v>98</v>
      </c>
      <c r="N122" s="26" t="s">
        <v>99</v>
      </c>
      <c r="O122" s="26" t="s">
        <v>32</v>
      </c>
      <c r="P122" s="26" t="s">
        <v>7</v>
      </c>
      <c r="Q122" s="26" t="s">
        <v>29</v>
      </c>
      <c r="R122" s="26" t="s">
        <v>30</v>
      </c>
      <c r="S122" s="26" t="s">
        <v>27</v>
      </c>
      <c r="T122" s="26" t="s">
        <v>31</v>
      </c>
      <c r="U122" s="119"/>
    </row>
    <row r="123" spans="1:21" ht="18.75" customHeight="1">
      <c r="A123" s="111" t="s">
        <v>64</v>
      </c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3"/>
    </row>
    <row r="124" spans="1:21">
      <c r="A124" s="28" t="str">
        <f>IF(ISNA(INDEX($A$36:$U$98,MATCH($B124,$B$36:$B$98,0),1)),"",INDEX($A$36:$U$98,MATCH($B124,$B$36:$B$98,0),1))</f>
        <v>MME8097</v>
      </c>
      <c r="B124" s="109" t="s">
        <v>126</v>
      </c>
      <c r="C124" s="109"/>
      <c r="D124" s="109"/>
      <c r="E124" s="109"/>
      <c r="F124" s="109"/>
      <c r="G124" s="109"/>
      <c r="H124" s="109"/>
      <c r="I124" s="109"/>
      <c r="J124" s="93">
        <f t="shared" ref="J124:J127" si="32">IF(ISNA(INDEX($A$37:$U$142,MATCH($B124,$B$37:$B$142,0),10)),"",INDEX($A$37:$U$142,MATCH($B124,$B$37:$B$142,0),10))</f>
        <v>7</v>
      </c>
      <c r="K124" s="93">
        <f t="shared" ref="K124:K127" si="33">IF(ISNA(INDEX($A$37:$U$142,MATCH($B124,$B$37:$B$142,0),11)),"",INDEX($A$37:$U$142,MATCH($B124,$B$37:$B$142,0),11))</f>
        <v>2</v>
      </c>
      <c r="L124" s="93">
        <f t="shared" ref="L124:L127" si="34">IF(ISNA(INDEX($A$37:$U$142,MATCH($B124,$B$37:$B$142,0),12)),"",INDEX($A$37:$U$142,MATCH($B124,$B$37:$B$142,0),12))</f>
        <v>1</v>
      </c>
      <c r="M124" s="93">
        <f t="shared" ref="M124:M127" si="35">IF(ISNA(INDEX($A$37:$U$142,MATCH($B124,$B$37:$B$142,0),13)),"",INDEX($A$37:$U$142,MATCH($B124,$B$37:$B$142,0),13))</f>
        <v>0</v>
      </c>
      <c r="N124" s="93">
        <f t="shared" ref="N124:N127" si="36">IF(ISNA(INDEX($A$37:$U$142,MATCH($B124,$B$37:$B$142,0),14)),"",INDEX($A$37:$U$142,MATCH($B124,$B$37:$B$142,0),14))</f>
        <v>1</v>
      </c>
      <c r="O124" s="93">
        <f t="shared" ref="O124:O127" si="37">IF(ISNA(INDEX($A$37:$U$142,MATCH($B124,$B$37:$B$142,0),15)),"",INDEX($A$37:$U$142,MATCH($B124,$B$37:$B$142,0),15))</f>
        <v>4</v>
      </c>
      <c r="P124" s="93">
        <f t="shared" ref="P124:P127" si="38">IF(ISNA(INDEX($A$37:$U$142,MATCH($B124,$B$37:$B$142,0),16)),"",INDEX($A$37:$U$142,MATCH($B124,$B$37:$B$142,0),16))</f>
        <v>9</v>
      </c>
      <c r="Q124" s="93">
        <f t="shared" ref="Q124:Q127" si="39">IF(ISNA(INDEX($A$37:$U$142,MATCH($B124,$B$37:$B$142,0),17)),"",INDEX($A$37:$U$142,MATCH($B124,$B$37:$B$142,0),17))</f>
        <v>13</v>
      </c>
      <c r="R124" s="103" t="str">
        <f t="shared" ref="R124:R127" si="40">IF(ISNA(INDEX($A$37:$U$142,MATCH($B124,$B$37:$B$142,0),18)),"",INDEX($A$37:$U$142,MATCH($B124,$B$37:$B$142,0),18))</f>
        <v>E</v>
      </c>
      <c r="S124" s="103">
        <f t="shared" ref="S124:S127" si="41">IF(ISNA(INDEX($A$37:$U$142,MATCH($B124,$B$37:$B$142,0),19)),"",INDEX($A$37:$U$142,MATCH($B124,$B$37:$B$142,0),19))</f>
        <v>0</v>
      </c>
      <c r="T124" s="103">
        <f t="shared" ref="T124:T127" si="42">IF(ISNA(INDEX($A$37:$U$142,MATCH($B124,$B$37:$B$142,0),20)),"",INDEX($A$37:$U$142,MATCH($B124,$B$37:$B$142,0),20))</f>
        <v>0</v>
      </c>
      <c r="U124" s="92" t="s">
        <v>37</v>
      </c>
    </row>
    <row r="125" spans="1:21">
      <c r="A125" s="28" t="str">
        <f>IF(ISNA(INDEX($A$36:$U$98,MATCH($B125,$B$36:$B$98,0),1)),"",INDEX($A$36:$U$98,MATCH($B125,$B$36:$B$98,0),1))</f>
        <v>MMX9101</v>
      </c>
      <c r="B125" s="109" t="s">
        <v>134</v>
      </c>
      <c r="C125" s="109"/>
      <c r="D125" s="109"/>
      <c r="E125" s="109"/>
      <c r="F125" s="109"/>
      <c r="G125" s="109"/>
      <c r="H125" s="109"/>
      <c r="I125" s="109"/>
      <c r="J125" s="93">
        <f t="shared" si="32"/>
        <v>7</v>
      </c>
      <c r="K125" s="93">
        <f t="shared" si="33"/>
        <v>2</v>
      </c>
      <c r="L125" s="93">
        <f t="shared" si="34"/>
        <v>1</v>
      </c>
      <c r="M125" s="93">
        <f t="shared" si="35"/>
        <v>0</v>
      </c>
      <c r="N125" s="93">
        <f t="shared" si="36"/>
        <v>1</v>
      </c>
      <c r="O125" s="93">
        <f t="shared" si="37"/>
        <v>4</v>
      </c>
      <c r="P125" s="93">
        <f t="shared" si="38"/>
        <v>9</v>
      </c>
      <c r="Q125" s="93">
        <f t="shared" si="39"/>
        <v>13</v>
      </c>
      <c r="R125" s="103" t="str">
        <f t="shared" si="40"/>
        <v>E</v>
      </c>
      <c r="S125" s="103">
        <f t="shared" si="41"/>
        <v>0</v>
      </c>
      <c r="T125" s="103">
        <f t="shared" si="42"/>
        <v>0</v>
      </c>
      <c r="U125" s="92" t="s">
        <v>37</v>
      </c>
    </row>
    <row r="126" spans="1:21">
      <c r="A126" s="28" t="str">
        <f>IF(ISNA(INDEX($A$36:$U$98,MATCH($B126,$B$36:$B$98,0),1)),"",INDEX($A$36:$U$98,MATCH($B126,$B$36:$B$98,0),1))</f>
        <v>MMX9102</v>
      </c>
      <c r="B126" s="109" t="s">
        <v>140</v>
      </c>
      <c r="C126" s="109"/>
      <c r="D126" s="109"/>
      <c r="E126" s="109"/>
      <c r="F126" s="109"/>
      <c r="G126" s="109"/>
      <c r="H126" s="109"/>
      <c r="I126" s="109"/>
      <c r="J126" s="93">
        <f t="shared" si="32"/>
        <v>7</v>
      </c>
      <c r="K126" s="93">
        <f t="shared" si="33"/>
        <v>2</v>
      </c>
      <c r="L126" s="93">
        <f t="shared" si="34"/>
        <v>1</v>
      </c>
      <c r="M126" s="93">
        <f t="shared" si="35"/>
        <v>0</v>
      </c>
      <c r="N126" s="93">
        <f t="shared" si="36"/>
        <v>1</v>
      </c>
      <c r="O126" s="93">
        <f t="shared" si="37"/>
        <v>4</v>
      </c>
      <c r="P126" s="93">
        <f t="shared" si="38"/>
        <v>9</v>
      </c>
      <c r="Q126" s="93">
        <f t="shared" si="39"/>
        <v>13</v>
      </c>
      <c r="R126" s="103" t="str">
        <f t="shared" si="40"/>
        <v>E</v>
      </c>
      <c r="S126" s="103">
        <f t="shared" si="41"/>
        <v>0</v>
      </c>
      <c r="T126" s="103">
        <f t="shared" si="42"/>
        <v>0</v>
      </c>
      <c r="U126" s="92" t="s">
        <v>37</v>
      </c>
    </row>
    <row r="127" spans="1:21">
      <c r="A127" s="28" t="str">
        <f>IF(ISNA(INDEX($A$36:$U$98,MATCH($B127,$B$36:$B$98,0),1)),"",INDEX($A$36:$U$98,MATCH($B127,$B$36:$B$98,0),1))</f>
        <v>MME8008</v>
      </c>
      <c r="B127" s="109" t="s">
        <v>138</v>
      </c>
      <c r="C127" s="109"/>
      <c r="D127" s="109"/>
      <c r="E127" s="109"/>
      <c r="F127" s="109"/>
      <c r="G127" s="109"/>
      <c r="H127" s="109"/>
      <c r="I127" s="109"/>
      <c r="J127" s="93">
        <f t="shared" si="32"/>
        <v>8</v>
      </c>
      <c r="K127" s="93">
        <f t="shared" si="33"/>
        <v>2</v>
      </c>
      <c r="L127" s="93">
        <f t="shared" si="34"/>
        <v>1</v>
      </c>
      <c r="M127" s="93">
        <f t="shared" si="35"/>
        <v>0</v>
      </c>
      <c r="N127" s="93">
        <f t="shared" si="36"/>
        <v>1</v>
      </c>
      <c r="O127" s="93">
        <f t="shared" si="37"/>
        <v>4</v>
      </c>
      <c r="P127" s="93">
        <f t="shared" si="38"/>
        <v>10</v>
      </c>
      <c r="Q127" s="93">
        <f t="shared" si="39"/>
        <v>14</v>
      </c>
      <c r="R127" s="103" t="str">
        <f t="shared" si="40"/>
        <v>E</v>
      </c>
      <c r="S127" s="103">
        <f t="shared" si="41"/>
        <v>0</v>
      </c>
      <c r="T127" s="103">
        <f t="shared" si="42"/>
        <v>0</v>
      </c>
      <c r="U127" s="92" t="s">
        <v>37</v>
      </c>
    </row>
    <row r="128" spans="1:21">
      <c r="A128" s="19" t="s">
        <v>24</v>
      </c>
      <c r="B128" s="114"/>
      <c r="C128" s="115"/>
      <c r="D128" s="115"/>
      <c r="E128" s="115"/>
      <c r="F128" s="115"/>
      <c r="G128" s="115"/>
      <c r="H128" s="115"/>
      <c r="I128" s="116"/>
      <c r="J128" s="60">
        <f t="shared" ref="J128:Q128" si="43">SUM(J123:J127)</f>
        <v>29</v>
      </c>
      <c r="K128" s="60">
        <f t="shared" si="43"/>
        <v>8</v>
      </c>
      <c r="L128" s="60">
        <f t="shared" si="43"/>
        <v>4</v>
      </c>
      <c r="M128" s="60">
        <f t="shared" si="43"/>
        <v>0</v>
      </c>
      <c r="N128" s="60">
        <f t="shared" si="43"/>
        <v>4</v>
      </c>
      <c r="O128" s="60">
        <f t="shared" si="43"/>
        <v>16</v>
      </c>
      <c r="P128" s="60">
        <f t="shared" si="43"/>
        <v>37</v>
      </c>
      <c r="Q128" s="60">
        <f t="shared" si="43"/>
        <v>53</v>
      </c>
      <c r="R128" s="78">
        <f>COUNTIF(R123:R127,"E")</f>
        <v>4</v>
      </c>
      <c r="S128" s="78">
        <f>COUNTIF(S123:S127,"C")</f>
        <v>0</v>
      </c>
      <c r="T128" s="78">
        <f>COUNTIF(T123:T127,"VP")</f>
        <v>0</v>
      </c>
      <c r="U128" s="92"/>
    </row>
    <row r="129" spans="1:21" ht="18" customHeight="1">
      <c r="A129" s="111" t="s">
        <v>66</v>
      </c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3"/>
    </row>
    <row r="130" spans="1:21">
      <c r="A130" s="28" t="str">
        <f>IF(ISNA(INDEX($A$36:$U$98,MATCH($B130,$B$36:$B$98,0),1)),"",INDEX($A$36:$U$98,MATCH($B130,$B$36:$B$98,0),1))</f>
        <v>MME9002</v>
      </c>
      <c r="B130" s="109" t="s">
        <v>144</v>
      </c>
      <c r="C130" s="109"/>
      <c r="D130" s="109"/>
      <c r="E130" s="109"/>
      <c r="F130" s="109"/>
      <c r="G130" s="109"/>
      <c r="H130" s="109"/>
      <c r="I130" s="109"/>
      <c r="J130" s="17">
        <f>IF(ISNA(INDEX($A$36:$U$98,MATCH($B130,$B$36:$B$98,0),10)),"",INDEX($A$36:$U$98,MATCH($B130,$B$36:$B$98,0),10))</f>
        <v>6</v>
      </c>
      <c r="K130" s="17">
        <f>IF(ISNA(INDEX($A$36:$U$98,MATCH($B130,$B$36:$B$98,0),11)),"",INDEX($A$36:$U$98,MATCH($B130,$B$36:$B$98,0),11))</f>
        <v>0</v>
      </c>
      <c r="L130" s="58">
        <f>IF(ISNA(INDEX($A$36:$U$98,MATCH($B130,$B$36:$B$98,0),12)),"",INDEX($A$36:$U$98,MATCH($B130,$B$36:$B$98,0),12))</f>
        <v>0</v>
      </c>
      <c r="M130" s="17">
        <f>IF(ISNA(INDEX($A$36:$U$98,MATCH($B130,$B$36:$B$98,0),13)),"",INDEX($A$36:$U$98,MATCH($B130,$B$36:$B$98,0),13))</f>
        <v>1</v>
      </c>
      <c r="N130" s="17">
        <f>IF(ISNA(INDEX($A$36:$U$98,MATCH($B130,$B$36:$B$98,0),14)),"",INDEX($A$36:$U$98,MATCH($B130,$B$36:$B$98,0),14))</f>
        <v>2</v>
      </c>
      <c r="O130" s="17">
        <f>IF(ISNA(INDEX($A$36:$U$98,MATCH($B130,$B$36:$B$98,0),15)),"",INDEX($A$36:$U$98,MATCH($B130,$B$36:$B$98,0),15))</f>
        <v>3</v>
      </c>
      <c r="P130" s="17">
        <f>IF(ISNA(INDEX($A$36:$U$98,MATCH($B130,$B$36:$B$98,0),16)),"",INDEX($A$36:$U$98,MATCH($B130,$B$36:$B$98,0),16))</f>
        <v>10</v>
      </c>
      <c r="Q130" s="25">
        <f>IF(ISNA(INDEX($A$36:$U$98,MATCH($B130,$B$36:$B$98,0),17)),"",INDEX($A$36:$U$98,MATCH($B130,$B$36:$B$98,0),17))</f>
        <v>13</v>
      </c>
      <c r="R130" s="25">
        <f>IF(ISNA(INDEX($A$36:$U$98,MATCH($B130,$B$36:$B$98,0),18)),"",INDEX($A$36:$U$98,MATCH($B130,$B$36:$B$98,0),18))</f>
        <v>0</v>
      </c>
      <c r="S130" s="25" t="str">
        <f>IF(ISNA(INDEX($A$36:$U$98,MATCH($B130,$B$36:$B$98,0),19)),"",INDEX($A$36:$U$98,MATCH($B130,$B$36:$B$98,0),19))</f>
        <v>C</v>
      </c>
      <c r="T130" s="25"/>
      <c r="U130" s="16" t="s">
        <v>37</v>
      </c>
    </row>
    <row r="131" spans="1:21">
      <c r="A131" s="28" t="str">
        <f>IF(ISNA(INDEX($A$36:$U$98,MATCH($B131,$B$36:$B$98,0),1)),"",INDEX($A$36:$U$98,MATCH($B131,$B$36:$B$98,0),1))</f>
        <v>MME3401</v>
      </c>
      <c r="B131" s="109" t="s">
        <v>146</v>
      </c>
      <c r="C131" s="109"/>
      <c r="D131" s="109"/>
      <c r="E131" s="109"/>
      <c r="F131" s="109"/>
      <c r="G131" s="109"/>
      <c r="H131" s="109"/>
      <c r="I131" s="109"/>
      <c r="J131" s="17">
        <f>IF(ISNA(INDEX($A$36:$U$98,MATCH($B131,$B$36:$B$98,0),10)),"",INDEX($A$36:$U$98,MATCH($B131,$B$36:$B$98,0),10))</f>
        <v>4</v>
      </c>
      <c r="K131" s="17">
        <f>IF(ISNA(INDEX($A$36:$U$98,MATCH($B131,$B$36:$B$98,0),11)),"",INDEX($A$36:$U$98,MATCH($B131,$B$36:$B$98,0),11))</f>
        <v>0</v>
      </c>
      <c r="L131" s="58">
        <f>IF(ISNA(INDEX($A$36:$U$98,MATCH($B131,$B$36:$B$98,0),12)),"",INDEX($A$36:$U$98,MATCH($B131,$B$36:$B$98,0),12))</f>
        <v>0</v>
      </c>
      <c r="M131" s="58">
        <f>IF(ISNA(INDEX($A$36:$U$98,MATCH($B131,$B$36:$B$98,0),13)),"",INDEX($A$36:$U$98,MATCH($B131,$B$36:$B$98,0),13))</f>
        <v>0</v>
      </c>
      <c r="N131" s="17">
        <f>IF(ISNA(INDEX($A$36:$U$98,MATCH($B131,$B$36:$B$98,0),14)),"",INDEX($A$36:$U$98,MATCH($B131,$B$36:$B$98,0),14))</f>
        <v>5</v>
      </c>
      <c r="O131" s="17">
        <f>IF(ISNA(INDEX($A$36:$U$98,MATCH($B131,$B$36:$B$98,0),15)),"",INDEX($A$36:$U$98,MATCH($B131,$B$36:$B$98,0),15))</f>
        <v>5</v>
      </c>
      <c r="P131" s="17">
        <f>IF(ISNA(INDEX($A$36:$U$98,MATCH($B131,$B$36:$B$98,0),16)),"",INDEX($A$36:$U$98,MATCH($B131,$B$36:$B$98,0),16))</f>
        <v>3</v>
      </c>
      <c r="Q131" s="25">
        <f>IF(ISNA(INDEX($A$36:$U$98,MATCH($B131,$B$36:$B$98,0),17)),"",INDEX($A$36:$U$98,MATCH($B131,$B$36:$B$98,0),17))</f>
        <v>8</v>
      </c>
      <c r="R131" s="25">
        <f>IF(ISNA(INDEX($A$36:$U$98,MATCH($B131,$B$36:$B$98,0),18)),"",INDEX($A$36:$U$98,MATCH($B131,$B$36:$B$98,0),18))</f>
        <v>0</v>
      </c>
      <c r="S131" s="25">
        <f>IF(ISNA(INDEX($A$36:$U$98,MATCH($B131,$B$36:$B$98,0),19)),"",INDEX($A$36:$U$98,MATCH($B131,$B$36:$B$98,0),19))</f>
        <v>0</v>
      </c>
      <c r="T131" s="25"/>
      <c r="U131" s="16" t="s">
        <v>37</v>
      </c>
    </row>
    <row r="132" spans="1:21">
      <c r="A132" s="28" t="str">
        <f>IF(ISNA(INDEX($A$36:$U$98,MATCH($B132,$B$36:$B$98,0),1)),"",INDEX($A$36:$U$98,MATCH($B132,$B$36:$B$98,0),1))</f>
        <v>MME9012</v>
      </c>
      <c r="B132" s="109" t="s">
        <v>148</v>
      </c>
      <c r="C132" s="109"/>
      <c r="D132" s="109"/>
      <c r="E132" s="109"/>
      <c r="F132" s="109"/>
      <c r="G132" s="109"/>
      <c r="H132" s="109"/>
      <c r="I132" s="109"/>
      <c r="J132" s="17">
        <f>IF(ISNA(INDEX($A$36:$U$98,MATCH($B132,$B$36:$B$98,0),10)),"",INDEX($A$36:$U$98,MATCH($B132,$B$36:$B$98,0),10))</f>
        <v>20</v>
      </c>
      <c r="K132" s="17">
        <f>IF(ISNA(INDEX($A$36:$U$98,MATCH($B132,$B$36:$B$98,0),11)),"",INDEX($A$36:$U$98,MATCH($B132,$B$36:$B$98,0),11))</f>
        <v>0</v>
      </c>
      <c r="L132" s="58">
        <f>IF(ISNA(INDEX($A$36:$U$98,MATCH($B132,$B$36:$B$98,0),12)),"",INDEX($A$36:$U$98,MATCH($B132,$B$36:$B$98,0),12))</f>
        <v>0</v>
      </c>
      <c r="M132" s="17">
        <f>IF(ISNA(INDEX($A$36:$U$98,MATCH($B132,$B$36:$B$98,0),13)),"",INDEX($A$36:$U$98,MATCH($B132,$B$36:$B$98,0),13))</f>
        <v>0</v>
      </c>
      <c r="N132" s="17">
        <f>IF(ISNA(INDEX($A$36:$U$98,MATCH($B132,$B$36:$B$98,0),14)),"",INDEX($A$36:$U$98,MATCH($B132,$B$36:$B$98,0),14))</f>
        <v>16</v>
      </c>
      <c r="O132" s="17">
        <f>IF(ISNA(INDEX($A$36:$U$98,MATCH($B132,$B$36:$B$98,0),15)),"",INDEX($A$36:$U$98,MATCH($B132,$B$36:$B$98,0),15))</f>
        <v>16</v>
      </c>
      <c r="P132" s="17">
        <f>IF(ISNA(INDEX($A$36:$U$98,MATCH($B132,$B$36:$B$98,0),16)),"",INDEX($A$36:$U$98,MATCH($B132,$B$36:$B$98,0),16))</f>
        <v>26</v>
      </c>
      <c r="Q132" s="25">
        <f>IF(ISNA(INDEX($A$36:$U$98,MATCH($B132,$B$36:$B$98,0),17)),"",INDEX($A$36:$U$98,MATCH($B132,$B$36:$B$98,0),17))</f>
        <v>42</v>
      </c>
      <c r="R132" s="25">
        <f>IF(ISNA(INDEX($A$36:$U$98,MATCH($B132,$B$36:$B$98,0),18)),"",INDEX($A$36:$U$98,MATCH($B132,$B$36:$B$98,0),18))</f>
        <v>0</v>
      </c>
      <c r="S132" s="25" t="str">
        <f>IF(ISNA(INDEX($A$36:$U$98,MATCH($B132,$B$36:$B$98,0),19)),"",INDEX($A$36:$U$98,MATCH($B132,$B$36:$B$98,0),19))</f>
        <v>C</v>
      </c>
      <c r="T132" s="25" t="s">
        <v>31</v>
      </c>
      <c r="U132" s="16" t="s">
        <v>37</v>
      </c>
    </row>
    <row r="133" spans="1:21">
      <c r="A133" s="28" t="str">
        <f>IF(ISNA(INDEX($A$36:$U$98,MATCH($B133,$B$36:$B$98,0),1)),"",INDEX($A$36:$U$98,MATCH($B133,$B$36:$B$98,0),1))</f>
        <v/>
      </c>
      <c r="B133" s="110"/>
      <c r="C133" s="110"/>
      <c r="D133" s="110"/>
      <c r="E133" s="110"/>
      <c r="F133" s="110"/>
      <c r="G133" s="110"/>
      <c r="H133" s="110"/>
      <c r="I133" s="110"/>
      <c r="J133" s="17" t="str">
        <f>IF(ISNA(INDEX($A$36:$U$98,MATCH($B133,$B$36:$B$98,0),10)),"",INDEX($A$36:$U$98,MATCH($B133,$B$36:$B$98,0),10))</f>
        <v/>
      </c>
      <c r="K133" s="17" t="str">
        <f>IF(ISNA(INDEX($A$36:$U$98,MATCH($B133,$B$36:$B$98,0),11)),"",INDEX($A$36:$U$98,MATCH($B133,$B$36:$B$98,0),11))</f>
        <v/>
      </c>
      <c r="L133" s="17" t="str">
        <f>IF(ISNA(INDEX($A$36:$U$98,MATCH($B133,$B$36:$B$98,0),12)),"",INDEX($A$36:$U$98,MATCH($B133,$B$36:$B$98,0),12))</f>
        <v/>
      </c>
      <c r="M133" s="58" t="str">
        <f>IF(ISNA(INDEX($A$36:$U$98,MATCH($B133,$B$36:$B$98,0),12)),"",INDEX($A$36:$U$98,MATCH($B133,$B$36:$B$98,0),12))</f>
        <v/>
      </c>
      <c r="N133" s="17" t="str">
        <f>IF(ISNA(INDEX($A$36:$U$98,MATCH($B133,$B$36:$B$98,0),13)),"",INDEX($A$36:$U$98,MATCH($B133,$B$36:$B$98,0),13))</f>
        <v/>
      </c>
      <c r="O133" s="17" t="str">
        <f>IF(ISNA(INDEX($A$36:$U$98,MATCH($B133,$B$36:$B$98,0),14)),"",INDEX($A$36:$U$98,MATCH($B133,$B$36:$B$98,0),14))</f>
        <v/>
      </c>
      <c r="P133" s="17" t="str">
        <f>IF(ISNA(INDEX($A$36:$U$98,MATCH($B133,$B$36:$B$98,0),15)),"",INDEX($A$36:$U$98,MATCH($B133,$B$36:$B$98,0),15))</f>
        <v/>
      </c>
      <c r="Q133" s="17" t="str">
        <f>IF(ISNA(INDEX($A$36:$U$98,MATCH($B133,$B$36:$B$98,0),16)),"",INDEX($A$36:$U$98,MATCH($B133,$B$36:$B$98,0),16))</f>
        <v/>
      </c>
      <c r="R133" s="25" t="str">
        <f>IF(ISNA(INDEX($A$36:$U$98,MATCH($B133,$B$36:$B$98,0),17)),"",INDEX($A$36:$U$98,MATCH($B133,$B$36:$B$98,0),17))</f>
        <v/>
      </c>
      <c r="S133" s="25" t="str">
        <f>IF(ISNA(INDEX($A$36:$U$98,MATCH($B133,$B$36:$B$98,0),18)),"",INDEX($A$36:$U$98,MATCH($B133,$B$36:$B$98,0),18))</f>
        <v/>
      </c>
      <c r="T133" s="25" t="str">
        <f>IF(ISNA(INDEX($A$36:$U$98,MATCH($B133,$B$36:$B$98,0),19)),"",INDEX($A$36:$U$98,MATCH($B133,$B$36:$B$98,0),19))</f>
        <v/>
      </c>
      <c r="U133" s="16" t="s">
        <v>37</v>
      </c>
    </row>
    <row r="134" spans="1:21">
      <c r="A134" s="19" t="s">
        <v>24</v>
      </c>
      <c r="B134" s="117"/>
      <c r="C134" s="117"/>
      <c r="D134" s="117"/>
      <c r="E134" s="117"/>
      <c r="F134" s="117"/>
      <c r="G134" s="117"/>
      <c r="H134" s="117"/>
      <c r="I134" s="117"/>
      <c r="J134" s="21">
        <f t="shared" ref="J134:Q134" si="44">SUM(J130:J133)</f>
        <v>30</v>
      </c>
      <c r="K134" s="21">
        <f t="shared" si="44"/>
        <v>0</v>
      </c>
      <c r="L134" s="21">
        <f>SUM(L130:L133)</f>
        <v>0</v>
      </c>
      <c r="M134" s="60">
        <f t="shared" ref="M134" si="45">SUM(M130:M133)</f>
        <v>1</v>
      </c>
      <c r="N134" s="21">
        <f t="shared" si="44"/>
        <v>23</v>
      </c>
      <c r="O134" s="21">
        <f t="shared" si="44"/>
        <v>24</v>
      </c>
      <c r="P134" s="21">
        <f t="shared" si="44"/>
        <v>39</v>
      </c>
      <c r="Q134" s="21">
        <f t="shared" si="44"/>
        <v>63</v>
      </c>
      <c r="R134" s="19">
        <f>COUNTIF(R130:R133,"E")</f>
        <v>0</v>
      </c>
      <c r="S134" s="19">
        <f>COUNTIF(S130:S133,"C")</f>
        <v>2</v>
      </c>
      <c r="T134" s="19">
        <f>COUNTIF(T130:T133,"VP")</f>
        <v>1</v>
      </c>
      <c r="U134" s="20"/>
    </row>
    <row r="135" spans="1:21" ht="25.5" customHeight="1">
      <c r="A135" s="179" t="s">
        <v>49</v>
      </c>
      <c r="B135" s="180"/>
      <c r="C135" s="180"/>
      <c r="D135" s="180"/>
      <c r="E135" s="180"/>
      <c r="F135" s="180"/>
      <c r="G135" s="180"/>
      <c r="H135" s="180"/>
      <c r="I135" s="181"/>
      <c r="J135" s="21">
        <f t="shared" ref="J135:T135" si="46">SUM(J128,J134)</f>
        <v>59</v>
      </c>
      <c r="K135" s="21">
        <f t="shared" si="46"/>
        <v>8</v>
      </c>
      <c r="L135" s="21">
        <f t="shared" si="46"/>
        <v>4</v>
      </c>
      <c r="M135" s="60">
        <f t="shared" ref="M135" si="47">SUM(M128,M134)</f>
        <v>1</v>
      </c>
      <c r="N135" s="21">
        <f t="shared" si="46"/>
        <v>27</v>
      </c>
      <c r="O135" s="21">
        <f t="shared" si="46"/>
        <v>40</v>
      </c>
      <c r="P135" s="21">
        <f t="shared" si="46"/>
        <v>76</v>
      </c>
      <c r="Q135" s="21">
        <f t="shared" si="46"/>
        <v>116</v>
      </c>
      <c r="R135" s="21">
        <f t="shared" si="46"/>
        <v>4</v>
      </c>
      <c r="S135" s="21">
        <f t="shared" si="46"/>
        <v>2</v>
      </c>
      <c r="T135" s="21">
        <f t="shared" si="46"/>
        <v>1</v>
      </c>
      <c r="U135" s="71">
        <f>SUM(R135:T135)/16</f>
        <v>0.4375</v>
      </c>
    </row>
    <row r="136" spans="1:21" ht="13.5" customHeight="1">
      <c r="A136" s="182" t="s">
        <v>50</v>
      </c>
      <c r="B136" s="183"/>
      <c r="C136" s="183"/>
      <c r="D136" s="183"/>
      <c r="E136" s="183"/>
      <c r="F136" s="183"/>
      <c r="G136" s="183"/>
      <c r="H136" s="183"/>
      <c r="I136" s="183"/>
      <c r="J136" s="184"/>
      <c r="K136" s="21">
        <f t="shared" ref="K136:Q136" si="48">K128*14+K134*12</f>
        <v>112</v>
      </c>
      <c r="L136" s="21">
        <f t="shared" si="48"/>
        <v>56</v>
      </c>
      <c r="M136" s="60">
        <f t="shared" ref="M136" si="49">M128*14+M134*12</f>
        <v>12</v>
      </c>
      <c r="N136" s="21">
        <f t="shared" si="48"/>
        <v>332</v>
      </c>
      <c r="O136" s="21">
        <f t="shared" si="48"/>
        <v>512</v>
      </c>
      <c r="P136" s="21">
        <f t="shared" si="48"/>
        <v>986</v>
      </c>
      <c r="Q136" s="21">
        <f t="shared" si="48"/>
        <v>1498</v>
      </c>
      <c r="R136" s="173"/>
      <c r="S136" s="174"/>
      <c r="T136" s="174"/>
      <c r="U136" s="175"/>
    </row>
    <row r="137" spans="1:21" ht="16.5" customHeight="1">
      <c r="A137" s="185"/>
      <c r="B137" s="186"/>
      <c r="C137" s="186"/>
      <c r="D137" s="186"/>
      <c r="E137" s="186"/>
      <c r="F137" s="186"/>
      <c r="G137" s="186"/>
      <c r="H137" s="186"/>
      <c r="I137" s="186"/>
      <c r="J137" s="187"/>
      <c r="K137" s="143">
        <f>SUM(K136:N136)</f>
        <v>512</v>
      </c>
      <c r="L137" s="144"/>
      <c r="M137" s="144"/>
      <c r="N137" s="145"/>
      <c r="O137" s="146">
        <f>SUM(O136:P136)</f>
        <v>1498</v>
      </c>
      <c r="P137" s="147"/>
      <c r="Q137" s="148"/>
      <c r="R137" s="176"/>
      <c r="S137" s="177"/>
      <c r="T137" s="177"/>
      <c r="U137" s="178"/>
    </row>
    <row r="138" spans="1:21" ht="8.25" customHeight="1"/>
    <row r="139" spans="1:21">
      <c r="B139" s="2"/>
      <c r="C139" s="2"/>
      <c r="D139" s="2"/>
      <c r="E139" s="2"/>
      <c r="F139" s="2"/>
      <c r="G139" s="2"/>
      <c r="N139" s="7"/>
      <c r="O139" s="7"/>
      <c r="P139" s="7"/>
      <c r="Q139" s="7"/>
      <c r="R139" s="7"/>
      <c r="S139" s="7"/>
      <c r="T139" s="7"/>
    </row>
    <row r="140" spans="1:21">
      <c r="B140" s="7"/>
      <c r="C140" s="7"/>
      <c r="D140" s="7"/>
      <c r="E140" s="7"/>
      <c r="F140" s="7"/>
      <c r="G140" s="7"/>
      <c r="H140" s="15"/>
      <c r="I140" s="15"/>
      <c r="J140" s="15"/>
      <c r="N140" s="7"/>
      <c r="O140" s="7"/>
      <c r="P140" s="7"/>
      <c r="Q140" s="7"/>
      <c r="R140" s="7"/>
      <c r="S140" s="7"/>
      <c r="T140" s="7"/>
    </row>
    <row r="141" spans="1:21" ht="12" customHeight="1"/>
    <row r="142" spans="1:21" ht="22.5" customHeight="1">
      <c r="A142" s="117" t="s">
        <v>70</v>
      </c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</row>
    <row r="143" spans="1:21" ht="25.5" customHeight="1">
      <c r="A143" s="117" t="s">
        <v>26</v>
      </c>
      <c r="B143" s="117" t="s">
        <v>25</v>
      </c>
      <c r="C143" s="117"/>
      <c r="D143" s="117"/>
      <c r="E143" s="117"/>
      <c r="F143" s="117"/>
      <c r="G143" s="117"/>
      <c r="H143" s="117"/>
      <c r="I143" s="117"/>
      <c r="J143" s="119" t="s">
        <v>39</v>
      </c>
      <c r="K143" s="119" t="s">
        <v>23</v>
      </c>
      <c r="L143" s="119"/>
      <c r="M143" s="119"/>
      <c r="N143" s="119"/>
      <c r="O143" s="119" t="s">
        <v>40</v>
      </c>
      <c r="P143" s="119"/>
      <c r="Q143" s="119"/>
      <c r="R143" s="119" t="s">
        <v>22</v>
      </c>
      <c r="S143" s="119"/>
      <c r="T143" s="119"/>
      <c r="U143" s="119" t="s">
        <v>21</v>
      </c>
    </row>
    <row r="144" spans="1:21" ht="18" customHeight="1">
      <c r="A144" s="117"/>
      <c r="B144" s="117"/>
      <c r="C144" s="117"/>
      <c r="D144" s="117"/>
      <c r="E144" s="117"/>
      <c r="F144" s="117"/>
      <c r="G144" s="117"/>
      <c r="H144" s="117"/>
      <c r="I144" s="117"/>
      <c r="J144" s="119"/>
      <c r="K144" s="26" t="s">
        <v>27</v>
      </c>
      <c r="L144" s="26" t="s">
        <v>28</v>
      </c>
      <c r="M144" s="61" t="s">
        <v>98</v>
      </c>
      <c r="N144" s="26" t="s">
        <v>99</v>
      </c>
      <c r="O144" s="26" t="s">
        <v>32</v>
      </c>
      <c r="P144" s="26" t="s">
        <v>7</v>
      </c>
      <c r="Q144" s="26" t="s">
        <v>29</v>
      </c>
      <c r="R144" s="26" t="s">
        <v>30</v>
      </c>
      <c r="S144" s="26" t="s">
        <v>27</v>
      </c>
      <c r="T144" s="26" t="s">
        <v>31</v>
      </c>
      <c r="U144" s="119"/>
    </row>
    <row r="145" spans="1:21" ht="19.5" customHeight="1">
      <c r="A145" s="111" t="s">
        <v>64</v>
      </c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3"/>
    </row>
    <row r="146" spans="1:21">
      <c r="A146" s="28" t="str">
        <f>IF(ISNA(INDEX($A$36:$U$98,MATCH($B146,$B$36:$B$98,0),1)),"",INDEX($A$36:$U$98,MATCH($B146,$B$36:$B$98,0),1))</f>
        <v>MME8066</v>
      </c>
      <c r="B146" s="109" t="s">
        <v>136</v>
      </c>
      <c r="C146" s="109"/>
      <c r="D146" s="109"/>
      <c r="E146" s="109"/>
      <c r="F146" s="109"/>
      <c r="G146" s="109"/>
      <c r="H146" s="109"/>
      <c r="I146" s="109"/>
      <c r="J146" s="17">
        <f>IF(ISNA(INDEX($A$36:$U$98,MATCH($B146,$B$36:$B$98,0),10)),"",INDEX($A$36:$U$98,MATCH($B146,$B$36:$B$98,0),10))</f>
        <v>8</v>
      </c>
      <c r="K146" s="17">
        <f>IF(ISNA(INDEX($A$36:$U$98,MATCH($B146,$B$36:$B$98,0),11)),"",INDEX($A$36:$U$98,MATCH($B146,$B$36:$B$98,0),11))</f>
        <v>2</v>
      </c>
      <c r="L146" s="58">
        <f>IF(ISNA(INDEX($A$36:$U$98,MATCH($B146,$B$36:$B$98,0),12)),"",INDEX($A$36:$U$98,MATCH($B146,$B$36:$B$98,0),12))</f>
        <v>1</v>
      </c>
      <c r="M146" s="17">
        <f>IF(ISNA(INDEX($A$36:$U$98,MATCH($B146,$B$36:$B$98,0),13)),"",INDEX($A$36:$U$98,MATCH($B146,$B$36:$B$98,0),13))</f>
        <v>0</v>
      </c>
      <c r="N146" s="17">
        <f>IF(ISNA(INDEX($A$36:$U$98,MATCH($B146,$B$36:$B$98,0),14)),"",INDEX($A$36:$U$98,MATCH($B146,$B$36:$B$98,0),14))</f>
        <v>1</v>
      </c>
      <c r="O146" s="17">
        <f>IF(ISNA(INDEX($A$36:$U$98,MATCH($B146,$B$36:$B$98,0),15)),"",INDEX($A$36:$U$98,MATCH($B146,$B$36:$B$98,0),15))</f>
        <v>4</v>
      </c>
      <c r="P146" s="17">
        <f>IF(ISNA(INDEX($A$36:$U$98,MATCH($B146,$B$36:$B$98,0),16)),"",INDEX($A$36:$U$98,MATCH($B146,$B$36:$B$98,0),16))</f>
        <v>10</v>
      </c>
      <c r="Q146" s="25">
        <f>IF(ISNA(INDEX($A$36:$U$98,MATCH($B146,$B$36:$B$98,0),17)),"",INDEX($A$36:$U$98,MATCH($B146,$B$36:$B$98,0),17))</f>
        <v>14</v>
      </c>
      <c r="R146" s="25" t="str">
        <f>IF(ISNA(INDEX($A$36:$U$98,MATCH($B146,$B$36:$B$98,0),18)),"",INDEX($A$36:$U$98,MATCH($B146,$B$36:$B$98,0),18))</f>
        <v>E</v>
      </c>
      <c r="S146" s="25"/>
      <c r="T146" s="25">
        <f>IF(ISNA(INDEX($A$36:$U$98,MATCH($B146,$B$36:$B$98,0),19)),"",INDEX($A$36:$U$98,MATCH($B146,$B$36:$B$98,0),19))</f>
        <v>0</v>
      </c>
      <c r="U146" s="16" t="s">
        <v>38</v>
      </c>
    </row>
    <row r="147" spans="1:21">
      <c r="A147" s="28" t="str">
        <f>IF(ISNA(INDEX($A$36:$U$98,MATCH($B147,$B$36:$B$98,0),1)),"",INDEX($A$36:$U$98,MATCH($B147,$B$36:$B$98,0),1))</f>
        <v>MMX9103</v>
      </c>
      <c r="B147" s="109" t="s">
        <v>142</v>
      </c>
      <c r="C147" s="109"/>
      <c r="D147" s="109"/>
      <c r="E147" s="109"/>
      <c r="F147" s="109"/>
      <c r="G147" s="109"/>
      <c r="H147" s="109"/>
      <c r="I147" s="109"/>
      <c r="J147" s="17">
        <f>IF(ISNA(INDEX($A$36:$U$98,MATCH($B147,$B$36:$B$98,0),10)),"",INDEX($A$36:$U$98,MATCH($B147,$B$36:$B$98,0),10))</f>
        <v>7</v>
      </c>
      <c r="K147" s="17">
        <f>IF(ISNA(INDEX($A$36:$U$98,MATCH($B147,$B$36:$B$98,0),11)),"",INDEX($A$36:$U$98,MATCH($B147,$B$36:$B$98,0),11))</f>
        <v>2</v>
      </c>
      <c r="L147" s="58">
        <f>IF(ISNA(INDEX($A$36:$U$98,MATCH($B147,$B$36:$B$98,0),12)),"",INDEX($A$36:$U$98,MATCH($B147,$B$36:$B$98,0),12))</f>
        <v>1</v>
      </c>
      <c r="M147" s="17">
        <f>IF(ISNA(INDEX($A$36:$U$98,MATCH($B147,$B$36:$B$98,0),13)),"",INDEX($A$36:$U$98,MATCH($B147,$B$36:$B$98,0),13))</f>
        <v>0</v>
      </c>
      <c r="N147" s="17">
        <f>IF(ISNA(INDEX($A$36:$U$98,MATCH($B147,$B$36:$B$98,0),14)),"",INDEX($A$36:$U$98,MATCH($B147,$B$36:$B$98,0),14))</f>
        <v>1</v>
      </c>
      <c r="O147" s="17">
        <f>IF(ISNA(INDEX($A$36:$U$98,MATCH($B147,$B$36:$B$98,0),15)),"",INDEX($A$36:$U$98,MATCH($B147,$B$36:$B$98,0),15))</f>
        <v>4</v>
      </c>
      <c r="P147" s="17">
        <f>IF(ISNA(INDEX($A$36:$U$98,MATCH($B147,$B$36:$B$98,0),16)),"",INDEX($A$36:$U$98,MATCH($B147,$B$36:$B$98,0),16))</f>
        <v>9</v>
      </c>
      <c r="Q147" s="25">
        <f>IF(ISNA(INDEX($A$36:$U$98,MATCH($B147,$B$36:$B$98,0),17)),"",INDEX($A$36:$U$98,MATCH($B147,$B$36:$B$98,0),17))</f>
        <v>13</v>
      </c>
      <c r="R147" s="25" t="str">
        <f>IF(ISNA(INDEX($A$36:$U$98,MATCH($B147,$B$36:$B$98,0),18)),"",INDEX($A$36:$U$98,MATCH($B147,$B$36:$B$98,0),18))</f>
        <v>E</v>
      </c>
      <c r="S147" s="25"/>
      <c r="T147" s="25">
        <f>IF(ISNA(INDEX($A$36:$U$98,MATCH($B147,$B$36:$B$98,0),19)),"",INDEX($A$36:$U$98,MATCH($B147,$B$36:$B$98,0),19))</f>
        <v>0</v>
      </c>
      <c r="U147" s="16" t="s">
        <v>38</v>
      </c>
    </row>
    <row r="148" spans="1:21">
      <c r="A148" s="19" t="s">
        <v>24</v>
      </c>
      <c r="B148" s="114"/>
      <c r="C148" s="115"/>
      <c r="D148" s="115"/>
      <c r="E148" s="115"/>
      <c r="F148" s="115"/>
      <c r="G148" s="115"/>
      <c r="H148" s="115"/>
      <c r="I148" s="116"/>
      <c r="J148" s="21">
        <f t="shared" ref="J148:Q148" si="50">SUM(J146:J147)</f>
        <v>15</v>
      </c>
      <c r="K148" s="21">
        <f t="shared" si="50"/>
        <v>4</v>
      </c>
      <c r="L148" s="60">
        <f t="shared" si="50"/>
        <v>2</v>
      </c>
      <c r="M148" s="60">
        <f t="shared" si="50"/>
        <v>0</v>
      </c>
      <c r="N148" s="21">
        <f t="shared" si="50"/>
        <v>2</v>
      </c>
      <c r="O148" s="21">
        <f t="shared" si="50"/>
        <v>8</v>
      </c>
      <c r="P148" s="21">
        <f t="shared" si="50"/>
        <v>19</v>
      </c>
      <c r="Q148" s="21">
        <f t="shared" si="50"/>
        <v>27</v>
      </c>
      <c r="R148" s="19">
        <f>COUNTIF(R146:R147,"E")</f>
        <v>2</v>
      </c>
      <c r="S148" s="19">
        <f>COUNTIF(S146:S147,"C")</f>
        <v>0</v>
      </c>
      <c r="T148" s="19">
        <f>COUNTIF(T146:T147,"VP")</f>
        <v>0</v>
      </c>
      <c r="U148" s="16"/>
    </row>
    <row r="149" spans="1:21" ht="19.5" customHeight="1">
      <c r="A149" s="111" t="s">
        <v>66</v>
      </c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3"/>
    </row>
    <row r="150" spans="1:21">
      <c r="A150" s="28" t="str">
        <f>IF(ISNA(INDEX($A$36:$U$98,MATCH($B150,$B$36:$B$98,0),1)),"",INDEX($A$36:$U$98,MATCH($B150,$B$36:$B$98,0),1))</f>
        <v/>
      </c>
      <c r="B150" s="110"/>
      <c r="C150" s="110"/>
      <c r="D150" s="110"/>
      <c r="E150" s="110"/>
      <c r="F150" s="110"/>
      <c r="G150" s="110"/>
      <c r="H150" s="110"/>
      <c r="I150" s="110"/>
      <c r="J150" s="17" t="str">
        <f>IF(ISNA(INDEX($A$36:$U$98,MATCH($B150,$B$36:$B$98,0),10)),"",INDEX($A$36:$U$98,MATCH($B150,$B$36:$B$98,0),10))</f>
        <v/>
      </c>
      <c r="K150" s="17" t="str">
        <f>IF(ISNA(INDEX($A$36:$U$98,MATCH($B150,$B$36:$B$98,0),11)),"",INDEX($A$36:$U$98,MATCH($B150,$B$36:$B$98,0),11))</f>
        <v/>
      </c>
      <c r="L150" s="17" t="str">
        <f>IF(ISNA(INDEX($A$36:$U$98,MATCH($B150,$B$36:$B$98,0),12)),"",INDEX($A$36:$U$98,MATCH($B150,$B$36:$B$98,0),12))</f>
        <v/>
      </c>
      <c r="M150" s="58" t="str">
        <f>IF(ISNA(INDEX($A$36:$U$98,MATCH($B150,$B$36:$B$98,0),12)),"",INDEX($A$36:$U$98,MATCH($B150,$B$36:$B$98,0),12))</f>
        <v/>
      </c>
      <c r="N150" s="17" t="str">
        <f>IF(ISNA(INDEX($A$36:$U$98,MATCH($B150,$B$36:$B$98,0),13)),"",INDEX($A$36:$U$98,MATCH($B150,$B$36:$B$98,0),13))</f>
        <v/>
      </c>
      <c r="O150" s="17" t="str">
        <f>IF(ISNA(INDEX($A$36:$U$98,MATCH($B150,$B$36:$B$98,0),14)),"",INDEX($A$36:$U$98,MATCH($B150,$B$36:$B$98,0),14))</f>
        <v/>
      </c>
      <c r="P150" s="17" t="str">
        <f>IF(ISNA(INDEX($A$36:$U$98,MATCH($B150,$B$36:$B$98,0),15)),"",INDEX($A$36:$U$98,MATCH($B150,$B$36:$B$98,0),15))</f>
        <v/>
      </c>
      <c r="Q150" s="17" t="str">
        <f>IF(ISNA(INDEX($A$36:$U$98,MATCH($B150,$B$36:$B$98,0),16)),"",INDEX($A$36:$U$98,MATCH($B150,$B$36:$B$98,0),16))</f>
        <v/>
      </c>
      <c r="R150" s="25" t="str">
        <f>IF(ISNA(INDEX($A$36:$U$98,MATCH($B150,$B$36:$B$98,0),17)),"",INDEX($A$36:$U$98,MATCH($B150,$B$36:$B$98,0),17))</f>
        <v/>
      </c>
      <c r="S150" s="25" t="str">
        <f>IF(ISNA(INDEX($A$36:$U$98,MATCH($B150,$B$36:$B$98,0),18)),"",INDEX($A$36:$U$98,MATCH($B150,$B$36:$B$98,0),18))</f>
        <v/>
      </c>
      <c r="T150" s="25" t="str">
        <f>IF(ISNA(INDEX($A$36:$U$98,MATCH($B150,$B$36:$B$98,0),19)),"",INDEX($A$36:$U$98,MATCH($B150,$B$36:$B$98,0),19))</f>
        <v/>
      </c>
      <c r="U150" s="16" t="s">
        <v>38</v>
      </c>
    </row>
    <row r="151" spans="1:21">
      <c r="A151" s="19" t="s">
        <v>24</v>
      </c>
      <c r="B151" s="117"/>
      <c r="C151" s="117"/>
      <c r="D151" s="117"/>
      <c r="E151" s="117"/>
      <c r="F151" s="117"/>
      <c r="G151" s="117"/>
      <c r="H151" s="117"/>
      <c r="I151" s="117"/>
      <c r="J151" s="21">
        <f t="shared" ref="J151:Q151" si="51">SUM(J150:J150)</f>
        <v>0</v>
      </c>
      <c r="K151" s="21">
        <f t="shared" si="51"/>
        <v>0</v>
      </c>
      <c r="L151" s="21">
        <f t="shared" si="51"/>
        <v>0</v>
      </c>
      <c r="M151" s="60">
        <f t="shared" si="51"/>
        <v>0</v>
      </c>
      <c r="N151" s="21">
        <f t="shared" si="51"/>
        <v>0</v>
      </c>
      <c r="O151" s="21">
        <f t="shared" si="51"/>
        <v>0</v>
      </c>
      <c r="P151" s="21">
        <f t="shared" si="51"/>
        <v>0</v>
      </c>
      <c r="Q151" s="21">
        <f t="shared" si="51"/>
        <v>0</v>
      </c>
      <c r="R151" s="19">
        <f>COUNTIF(R150:R150,"E")</f>
        <v>0</v>
      </c>
      <c r="S151" s="19">
        <f>COUNTIF(S150:S150,"C")</f>
        <v>0</v>
      </c>
      <c r="T151" s="19">
        <f>COUNTIF(T150:T150,"VP")</f>
        <v>0</v>
      </c>
      <c r="U151" s="20"/>
    </row>
    <row r="152" spans="1:21" ht="27.75" customHeight="1">
      <c r="A152" s="179" t="s">
        <v>49</v>
      </c>
      <c r="B152" s="180"/>
      <c r="C152" s="180"/>
      <c r="D152" s="180"/>
      <c r="E152" s="180"/>
      <c r="F152" s="180"/>
      <c r="G152" s="180"/>
      <c r="H152" s="180"/>
      <c r="I152" s="181"/>
      <c r="J152" s="21">
        <f t="shared" ref="J152:T152" si="52">SUM(J148,J151)</f>
        <v>15</v>
      </c>
      <c r="K152" s="21">
        <f t="shared" si="52"/>
        <v>4</v>
      </c>
      <c r="L152" s="21">
        <f t="shared" si="52"/>
        <v>2</v>
      </c>
      <c r="M152" s="60">
        <f t="shared" si="52"/>
        <v>0</v>
      </c>
      <c r="N152" s="21">
        <f t="shared" si="52"/>
        <v>2</v>
      </c>
      <c r="O152" s="21">
        <f t="shared" si="52"/>
        <v>8</v>
      </c>
      <c r="P152" s="21">
        <f t="shared" si="52"/>
        <v>19</v>
      </c>
      <c r="Q152" s="21">
        <f t="shared" si="52"/>
        <v>27</v>
      </c>
      <c r="R152" s="21">
        <f t="shared" si="52"/>
        <v>2</v>
      </c>
      <c r="S152" s="21">
        <f t="shared" si="52"/>
        <v>0</v>
      </c>
      <c r="T152" s="21">
        <f t="shared" si="52"/>
        <v>0</v>
      </c>
      <c r="U152" s="71">
        <f>SUM(R152:T152)/16</f>
        <v>0.125</v>
      </c>
    </row>
    <row r="153" spans="1:21" ht="17.25" customHeight="1">
      <c r="A153" s="182" t="s">
        <v>50</v>
      </c>
      <c r="B153" s="183"/>
      <c r="C153" s="183"/>
      <c r="D153" s="183"/>
      <c r="E153" s="183"/>
      <c r="F153" s="183"/>
      <c r="G153" s="183"/>
      <c r="H153" s="183"/>
      <c r="I153" s="183"/>
      <c r="J153" s="184"/>
      <c r="K153" s="21">
        <f t="shared" ref="K153:Q153" si="53">K148*14+K151*12</f>
        <v>56</v>
      </c>
      <c r="L153" s="21">
        <f t="shared" si="53"/>
        <v>28</v>
      </c>
      <c r="M153" s="60">
        <f t="shared" si="53"/>
        <v>0</v>
      </c>
      <c r="N153" s="21">
        <f t="shared" si="53"/>
        <v>28</v>
      </c>
      <c r="O153" s="21">
        <f t="shared" si="53"/>
        <v>112</v>
      </c>
      <c r="P153" s="21">
        <f t="shared" si="53"/>
        <v>266</v>
      </c>
      <c r="Q153" s="21">
        <f t="shared" si="53"/>
        <v>378</v>
      </c>
      <c r="R153" s="173"/>
      <c r="S153" s="174"/>
      <c r="T153" s="174"/>
      <c r="U153" s="175"/>
    </row>
    <row r="154" spans="1:21">
      <c r="A154" s="185"/>
      <c r="B154" s="186"/>
      <c r="C154" s="186"/>
      <c r="D154" s="186"/>
      <c r="E154" s="186"/>
      <c r="F154" s="186"/>
      <c r="G154" s="186"/>
      <c r="H154" s="186"/>
      <c r="I154" s="186"/>
      <c r="J154" s="187"/>
      <c r="K154" s="143">
        <f>SUM(K153:N153)</f>
        <v>112</v>
      </c>
      <c r="L154" s="144"/>
      <c r="M154" s="144"/>
      <c r="N154" s="145"/>
      <c r="O154" s="146">
        <f>SUM(O153:P153)</f>
        <v>378</v>
      </c>
      <c r="P154" s="147"/>
      <c r="Q154" s="148"/>
      <c r="R154" s="176"/>
      <c r="S154" s="177"/>
      <c r="T154" s="177"/>
      <c r="U154" s="178"/>
    </row>
    <row r="155" spans="1:21" ht="8.25" customHeight="1"/>
    <row r="156" spans="1:21">
      <c r="B156" s="7"/>
      <c r="C156" s="7"/>
      <c r="D156" s="7"/>
      <c r="E156" s="7"/>
      <c r="F156" s="7"/>
      <c r="G156" s="7"/>
      <c r="H156" s="15"/>
      <c r="I156" s="15"/>
      <c r="J156" s="15"/>
      <c r="N156" s="7"/>
      <c r="O156" s="7"/>
      <c r="P156" s="7"/>
      <c r="Q156" s="7"/>
      <c r="R156" s="7"/>
      <c r="S156" s="7"/>
      <c r="T156" s="7"/>
    </row>
    <row r="159" spans="1:21">
      <c r="A159" s="194" t="s">
        <v>62</v>
      </c>
      <c r="B159" s="194"/>
    </row>
    <row r="160" spans="1:21">
      <c r="A160" s="195" t="s">
        <v>26</v>
      </c>
      <c r="B160" s="197" t="s">
        <v>54</v>
      </c>
      <c r="C160" s="198"/>
      <c r="D160" s="198"/>
      <c r="E160" s="198"/>
      <c r="F160" s="198"/>
      <c r="G160" s="199"/>
      <c r="H160" s="197" t="s">
        <v>57</v>
      </c>
      <c r="I160" s="199"/>
      <c r="J160" s="203" t="s">
        <v>58</v>
      </c>
      <c r="K160" s="204"/>
      <c r="L160" s="204"/>
      <c r="M160" s="204"/>
      <c r="N160" s="204"/>
      <c r="O160" s="204"/>
      <c r="P160" s="205"/>
      <c r="Q160" s="197" t="s">
        <v>48</v>
      </c>
      <c r="R160" s="199"/>
      <c r="S160" s="203" t="s">
        <v>59</v>
      </c>
      <c r="T160" s="204"/>
      <c r="U160" s="205"/>
    </row>
    <row r="161" spans="1:21">
      <c r="A161" s="196"/>
      <c r="B161" s="200"/>
      <c r="C161" s="201"/>
      <c r="D161" s="201"/>
      <c r="E161" s="201"/>
      <c r="F161" s="201"/>
      <c r="G161" s="202"/>
      <c r="H161" s="200"/>
      <c r="I161" s="202"/>
      <c r="J161" s="203" t="s">
        <v>32</v>
      </c>
      <c r="K161" s="205"/>
      <c r="L161" s="203" t="s">
        <v>7</v>
      </c>
      <c r="M161" s="204"/>
      <c r="N161" s="205"/>
      <c r="O161" s="203" t="s">
        <v>29</v>
      </c>
      <c r="P161" s="205"/>
      <c r="Q161" s="200"/>
      <c r="R161" s="202"/>
      <c r="S161" s="34" t="s">
        <v>60</v>
      </c>
      <c r="T161" s="34" t="s">
        <v>61</v>
      </c>
      <c r="U161" s="34" t="s">
        <v>48</v>
      </c>
    </row>
    <row r="162" spans="1:21">
      <c r="A162" s="34">
        <v>1</v>
      </c>
      <c r="B162" s="203" t="s">
        <v>55</v>
      </c>
      <c r="C162" s="204"/>
      <c r="D162" s="204"/>
      <c r="E162" s="204"/>
      <c r="F162" s="204"/>
      <c r="G162" s="205"/>
      <c r="H162" s="208">
        <f>J162</f>
        <v>834</v>
      </c>
      <c r="I162" s="208"/>
      <c r="J162" s="209">
        <f>SUM((O44+O52+O60)*14+(O67*12)-J163)</f>
        <v>834</v>
      </c>
      <c r="K162" s="210"/>
      <c r="L162" s="209">
        <f>SUM((P44+P52+P60)*14+(P67*12)-L163)</f>
        <v>1658</v>
      </c>
      <c r="M162" s="211"/>
      <c r="N162" s="210"/>
      <c r="O162" s="212">
        <f>SUM(J162:N162)</f>
        <v>2492</v>
      </c>
      <c r="P162" s="213"/>
      <c r="Q162" s="214">
        <f>H162/H164</f>
        <v>0.83233532934131738</v>
      </c>
      <c r="R162" s="215"/>
      <c r="S162" s="35">
        <f>J44+J52-S163</f>
        <v>53</v>
      </c>
      <c r="T162" s="35">
        <f>J60+J67-T163</f>
        <v>46</v>
      </c>
      <c r="U162" s="73">
        <f>SUM(S162:T162)/SUM(S164:T164)</f>
        <v>0.82499999999999996</v>
      </c>
    </row>
    <row r="163" spans="1:21">
      <c r="A163" s="34">
        <v>2</v>
      </c>
      <c r="B163" s="203" t="s">
        <v>56</v>
      </c>
      <c r="C163" s="204"/>
      <c r="D163" s="204"/>
      <c r="E163" s="204"/>
      <c r="F163" s="204"/>
      <c r="G163" s="205"/>
      <c r="H163" s="208">
        <f>J163</f>
        <v>168</v>
      </c>
      <c r="I163" s="208"/>
      <c r="J163" s="216">
        <f>O89</f>
        <v>168</v>
      </c>
      <c r="K163" s="217"/>
      <c r="L163" s="216">
        <f>P89</f>
        <v>378</v>
      </c>
      <c r="M163" s="218"/>
      <c r="N163" s="217"/>
      <c r="O163" s="219">
        <f>SUM(J163:N163)</f>
        <v>546</v>
      </c>
      <c r="P163" s="213"/>
      <c r="Q163" s="214">
        <f>H163/H164</f>
        <v>0.16766467065868262</v>
      </c>
      <c r="R163" s="215"/>
      <c r="S163" s="89">
        <v>7</v>
      </c>
      <c r="T163" s="89">
        <v>14</v>
      </c>
      <c r="U163" s="75">
        <f>SUM(S163:T163)/SUM(S164:T164)</f>
        <v>0.17499999999999999</v>
      </c>
    </row>
    <row r="164" spans="1:21">
      <c r="A164" s="203" t="s">
        <v>24</v>
      </c>
      <c r="B164" s="204"/>
      <c r="C164" s="204"/>
      <c r="D164" s="204"/>
      <c r="E164" s="204"/>
      <c r="F164" s="204"/>
      <c r="G164" s="205"/>
      <c r="H164" s="119">
        <f>SUM(H162:I163)</f>
        <v>1002</v>
      </c>
      <c r="I164" s="119"/>
      <c r="J164" s="119">
        <f>SUM(J162:K163)</f>
        <v>1002</v>
      </c>
      <c r="K164" s="119"/>
      <c r="L164" s="111">
        <f>SUM(L162:N163)</f>
        <v>2036</v>
      </c>
      <c r="M164" s="112"/>
      <c r="N164" s="113"/>
      <c r="O164" s="111">
        <f>SUM(O162:P163)</f>
        <v>3038</v>
      </c>
      <c r="P164" s="113"/>
      <c r="Q164" s="206">
        <f>SUM(Q162:R163)</f>
        <v>1</v>
      </c>
      <c r="R164" s="207"/>
      <c r="S164" s="36">
        <f>SUM(S162:S163)</f>
        <v>60</v>
      </c>
      <c r="T164" s="36">
        <f>SUM(T162:T163)</f>
        <v>60</v>
      </c>
      <c r="U164" s="74">
        <f>SUM(U162:U163)</f>
        <v>1</v>
      </c>
    </row>
    <row r="165" spans="1:21">
      <c r="S165" s="77"/>
      <c r="T165" s="77"/>
    </row>
    <row r="166" spans="1:21">
      <c r="A166" s="105" t="s">
        <v>82</v>
      </c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</row>
    <row r="167" spans="1:2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N167" s="40"/>
      <c r="O167" s="40"/>
      <c r="P167" s="40"/>
      <c r="Q167" s="40"/>
      <c r="R167" s="40"/>
      <c r="S167" s="40"/>
      <c r="T167" s="40"/>
      <c r="U167" s="40"/>
    </row>
    <row r="168" spans="1:21" ht="12.75" customHeight="1">
      <c r="A168" s="106" t="s">
        <v>77</v>
      </c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</row>
    <row r="169" spans="1:21" ht="27.75" customHeight="1">
      <c r="A169" s="106" t="s">
        <v>26</v>
      </c>
      <c r="B169" s="106" t="s">
        <v>25</v>
      </c>
      <c r="C169" s="106"/>
      <c r="D169" s="106"/>
      <c r="E169" s="106"/>
      <c r="F169" s="106"/>
      <c r="G169" s="106"/>
      <c r="H169" s="106"/>
      <c r="I169" s="106"/>
      <c r="J169" s="107" t="s">
        <v>39</v>
      </c>
      <c r="K169" s="107" t="s">
        <v>23</v>
      </c>
      <c r="L169" s="107"/>
      <c r="M169" s="107"/>
      <c r="N169" s="107"/>
      <c r="O169" s="107" t="s">
        <v>40</v>
      </c>
      <c r="P169" s="108"/>
      <c r="Q169" s="108"/>
      <c r="R169" s="107" t="s">
        <v>22</v>
      </c>
      <c r="S169" s="107"/>
      <c r="T169" s="107"/>
      <c r="U169" s="107" t="s">
        <v>21</v>
      </c>
    </row>
    <row r="170" spans="1:21">
      <c r="A170" s="106"/>
      <c r="B170" s="106"/>
      <c r="C170" s="106"/>
      <c r="D170" s="106"/>
      <c r="E170" s="106"/>
      <c r="F170" s="106"/>
      <c r="G170" s="106"/>
      <c r="H170" s="106"/>
      <c r="I170" s="106"/>
      <c r="J170" s="107"/>
      <c r="K170" s="46" t="s">
        <v>27</v>
      </c>
      <c r="L170" s="46" t="s">
        <v>28</v>
      </c>
      <c r="M170" s="51" t="s">
        <v>98</v>
      </c>
      <c r="N170" s="46" t="s">
        <v>99</v>
      </c>
      <c r="O170" s="46" t="s">
        <v>32</v>
      </c>
      <c r="P170" s="46" t="s">
        <v>7</v>
      </c>
      <c r="Q170" s="46" t="s">
        <v>29</v>
      </c>
      <c r="R170" s="46" t="s">
        <v>30</v>
      </c>
      <c r="S170" s="46" t="s">
        <v>27</v>
      </c>
      <c r="T170" s="46" t="s">
        <v>31</v>
      </c>
      <c r="U170" s="107"/>
    </row>
    <row r="171" spans="1:21">
      <c r="A171" s="246" t="s">
        <v>78</v>
      </c>
      <c r="B171" s="246"/>
      <c r="C171" s="246"/>
      <c r="D171" s="246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  <c r="R171" s="246"/>
      <c r="S171" s="246"/>
      <c r="T171" s="246"/>
      <c r="U171" s="246"/>
    </row>
    <row r="172" spans="1:21" s="40" customFormat="1">
      <c r="A172" s="41" t="s">
        <v>71</v>
      </c>
      <c r="B172" s="220" t="s">
        <v>83</v>
      </c>
      <c r="C172" s="220"/>
      <c r="D172" s="220"/>
      <c r="E172" s="220"/>
      <c r="F172" s="220"/>
      <c r="G172" s="220"/>
      <c r="H172" s="220"/>
      <c r="I172" s="220"/>
      <c r="J172" s="37">
        <v>5</v>
      </c>
      <c r="K172" s="37">
        <v>2</v>
      </c>
      <c r="L172" s="37">
        <v>1</v>
      </c>
      <c r="M172" s="63">
        <v>0</v>
      </c>
      <c r="N172" s="37">
        <v>0</v>
      </c>
      <c r="O172" s="38">
        <f>K172+L172+N172</f>
        <v>3</v>
      </c>
      <c r="P172" s="38">
        <f>Q172-O172</f>
        <v>6</v>
      </c>
      <c r="Q172" s="38">
        <f>ROUND(PRODUCT(J172,25)/14,0)</f>
        <v>9</v>
      </c>
      <c r="R172" s="37" t="s">
        <v>30</v>
      </c>
      <c r="S172" s="37"/>
      <c r="T172" s="39"/>
      <c r="U172" s="39" t="s">
        <v>35</v>
      </c>
    </row>
    <row r="173" spans="1:21">
      <c r="A173" s="41" t="s">
        <v>72</v>
      </c>
      <c r="B173" s="220" t="s">
        <v>84</v>
      </c>
      <c r="C173" s="220"/>
      <c r="D173" s="220"/>
      <c r="E173" s="220"/>
      <c r="F173" s="220"/>
      <c r="G173" s="220"/>
      <c r="H173" s="220"/>
      <c r="I173" s="220"/>
      <c r="J173" s="37">
        <v>5</v>
      </c>
      <c r="K173" s="37">
        <v>2</v>
      </c>
      <c r="L173" s="37">
        <v>1</v>
      </c>
      <c r="M173" s="63">
        <v>0</v>
      </c>
      <c r="N173" s="37">
        <v>0</v>
      </c>
      <c r="O173" s="38">
        <f>K173+L173+N173</f>
        <v>3</v>
      </c>
      <c r="P173" s="38">
        <f>Q173-O173</f>
        <v>6</v>
      </c>
      <c r="Q173" s="38">
        <f>ROUND(PRODUCT(J173,25)/14,0)</f>
        <v>9</v>
      </c>
      <c r="R173" s="37" t="s">
        <v>30</v>
      </c>
      <c r="S173" s="37"/>
      <c r="T173" s="39"/>
      <c r="U173" s="39" t="s">
        <v>35</v>
      </c>
    </row>
    <row r="174" spans="1:21">
      <c r="A174" s="225" t="s">
        <v>79</v>
      </c>
      <c r="B174" s="226"/>
      <c r="C174" s="226"/>
      <c r="D174" s="226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7"/>
    </row>
    <row r="175" spans="1:21" ht="28.25" customHeight="1">
      <c r="A175" s="41" t="s">
        <v>73</v>
      </c>
      <c r="B175" s="221" t="s">
        <v>93</v>
      </c>
      <c r="C175" s="222"/>
      <c r="D175" s="222"/>
      <c r="E175" s="222"/>
      <c r="F175" s="222"/>
      <c r="G175" s="222"/>
      <c r="H175" s="222"/>
      <c r="I175" s="223"/>
      <c r="J175" s="37">
        <v>5</v>
      </c>
      <c r="K175" s="37">
        <v>2</v>
      </c>
      <c r="L175" s="37">
        <v>1</v>
      </c>
      <c r="M175" s="63">
        <v>0</v>
      </c>
      <c r="N175" s="37">
        <v>0</v>
      </c>
      <c r="O175" s="38">
        <f>K175+L175+N175</f>
        <v>3</v>
      </c>
      <c r="P175" s="38">
        <f>Q175-O175</f>
        <v>6</v>
      </c>
      <c r="Q175" s="38">
        <f>ROUND(PRODUCT(J175,25)/14,0)</f>
        <v>9</v>
      </c>
      <c r="R175" s="37" t="s">
        <v>30</v>
      </c>
      <c r="S175" s="37"/>
      <c r="T175" s="39"/>
      <c r="U175" s="39" t="s">
        <v>85</v>
      </c>
    </row>
    <row r="176" spans="1:21" s="40" customFormat="1" ht="15" customHeight="1">
      <c r="A176" s="41" t="s">
        <v>74</v>
      </c>
      <c r="B176" s="221" t="s">
        <v>94</v>
      </c>
      <c r="C176" s="222"/>
      <c r="D176" s="222"/>
      <c r="E176" s="222"/>
      <c r="F176" s="222"/>
      <c r="G176" s="222"/>
      <c r="H176" s="222"/>
      <c r="I176" s="223"/>
      <c r="J176" s="37">
        <v>5</v>
      </c>
      <c r="K176" s="37">
        <v>1</v>
      </c>
      <c r="L176" s="37">
        <v>2</v>
      </c>
      <c r="M176" s="63">
        <v>0</v>
      </c>
      <c r="N176" s="37">
        <v>0</v>
      </c>
      <c r="O176" s="38">
        <f>K176+L176+N176</f>
        <v>3</v>
      </c>
      <c r="P176" s="38">
        <f>Q176-O176</f>
        <v>6</v>
      </c>
      <c r="Q176" s="38">
        <f>ROUND(PRODUCT(J176,25)/14,0)</f>
        <v>9</v>
      </c>
      <c r="R176" s="37" t="s">
        <v>30</v>
      </c>
      <c r="S176" s="37"/>
      <c r="T176" s="39"/>
      <c r="U176" s="39" t="s">
        <v>86</v>
      </c>
    </row>
    <row r="177" spans="1:21">
      <c r="A177" s="225" t="s">
        <v>80</v>
      </c>
      <c r="B177" s="226"/>
      <c r="C177" s="226"/>
      <c r="D177" s="226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7"/>
    </row>
    <row r="178" spans="1:21" s="40" customFormat="1" ht="24" customHeight="1">
      <c r="A178" s="41" t="s">
        <v>87</v>
      </c>
      <c r="B178" s="221" t="s">
        <v>170</v>
      </c>
      <c r="C178" s="222"/>
      <c r="D178" s="222"/>
      <c r="E178" s="222"/>
      <c r="F178" s="222"/>
      <c r="G178" s="222"/>
      <c r="H178" s="222"/>
      <c r="I178" s="223"/>
      <c r="J178" s="37">
        <v>5</v>
      </c>
      <c r="K178" s="37">
        <v>0</v>
      </c>
      <c r="L178" s="37">
        <v>0</v>
      </c>
      <c r="M178" s="63">
        <v>3</v>
      </c>
      <c r="N178" s="37">
        <v>0</v>
      </c>
      <c r="O178" s="38">
        <f>K178+L178+N178</f>
        <v>0</v>
      </c>
      <c r="P178" s="38">
        <f>Q178-O178</f>
        <v>9</v>
      </c>
      <c r="Q178" s="38">
        <f>ROUND(PRODUCT(J178,25)/14,0)</f>
        <v>9</v>
      </c>
      <c r="R178" s="37"/>
      <c r="S178" s="37" t="s">
        <v>27</v>
      </c>
      <c r="T178" s="39"/>
      <c r="U178" s="39" t="s">
        <v>85</v>
      </c>
    </row>
    <row r="179" spans="1:21" ht="18" customHeight="1">
      <c r="A179" s="41" t="s">
        <v>88</v>
      </c>
      <c r="B179" s="221" t="s">
        <v>95</v>
      </c>
      <c r="C179" s="222"/>
      <c r="D179" s="222"/>
      <c r="E179" s="222"/>
      <c r="F179" s="222"/>
      <c r="G179" s="222"/>
      <c r="H179" s="222"/>
      <c r="I179" s="223"/>
      <c r="J179" s="37">
        <v>5</v>
      </c>
      <c r="K179" s="37">
        <v>1</v>
      </c>
      <c r="L179" s="37">
        <v>2</v>
      </c>
      <c r="M179" s="63">
        <v>0</v>
      </c>
      <c r="N179" s="37">
        <v>0</v>
      </c>
      <c r="O179" s="38">
        <f>K179+L179+N179</f>
        <v>3</v>
      </c>
      <c r="P179" s="38">
        <f>Q179-O179</f>
        <v>6</v>
      </c>
      <c r="Q179" s="38">
        <f>ROUND(PRODUCT(J179,25)/14,0)</f>
        <v>9</v>
      </c>
      <c r="R179" s="37" t="s">
        <v>30</v>
      </c>
      <c r="S179" s="37"/>
      <c r="T179" s="39"/>
      <c r="U179" s="39" t="s">
        <v>86</v>
      </c>
    </row>
    <row r="180" spans="1:21">
      <c r="A180" s="188" t="s">
        <v>81</v>
      </c>
      <c r="B180" s="189"/>
      <c r="C180" s="189"/>
      <c r="D180" s="189"/>
      <c r="E180" s="189"/>
      <c r="F180" s="189"/>
      <c r="G180" s="189"/>
      <c r="H180" s="189"/>
      <c r="I180" s="189"/>
      <c r="J180" s="189"/>
      <c r="K180" s="189"/>
      <c r="L180" s="189"/>
      <c r="M180" s="189"/>
      <c r="N180" s="189"/>
      <c r="O180" s="189"/>
      <c r="P180" s="189"/>
      <c r="Q180" s="189"/>
      <c r="R180" s="189"/>
      <c r="S180" s="189"/>
      <c r="T180" s="189"/>
      <c r="U180" s="190"/>
    </row>
    <row r="181" spans="1:21" ht="18.75" customHeight="1">
      <c r="A181" s="41"/>
      <c r="B181" s="221" t="s">
        <v>75</v>
      </c>
      <c r="C181" s="222"/>
      <c r="D181" s="222"/>
      <c r="E181" s="222"/>
      <c r="F181" s="222"/>
      <c r="G181" s="222"/>
      <c r="H181" s="222"/>
      <c r="I181" s="223"/>
      <c r="J181" s="37">
        <v>5</v>
      </c>
      <c r="K181" s="37"/>
      <c r="L181" s="37"/>
      <c r="M181" s="63"/>
      <c r="N181" s="37"/>
      <c r="O181" s="38"/>
      <c r="P181" s="38"/>
      <c r="Q181" s="38"/>
      <c r="R181" s="37"/>
      <c r="S181" s="37"/>
      <c r="T181" s="39"/>
      <c r="U181" s="42"/>
    </row>
    <row r="182" spans="1:21" ht="20.25" customHeight="1">
      <c r="A182" s="228" t="s">
        <v>76</v>
      </c>
      <c r="B182" s="229"/>
      <c r="C182" s="229"/>
      <c r="D182" s="229"/>
      <c r="E182" s="229"/>
      <c r="F182" s="229"/>
      <c r="G182" s="229"/>
      <c r="H182" s="229"/>
      <c r="I182" s="230"/>
      <c r="J182" s="43">
        <f>SUM(J172:J173,J175:J176,J178:J179,J181)</f>
        <v>35</v>
      </c>
      <c r="K182" s="43">
        <f t="shared" ref="K182:Q182" si="54">SUM(K172:K173,K175:K176,K178:K179,K181)</f>
        <v>8</v>
      </c>
      <c r="L182" s="43">
        <f t="shared" si="54"/>
        <v>7</v>
      </c>
      <c r="M182" s="64">
        <f t="shared" ref="M182" si="55">SUM(M172:M173,M175:M176,M178:M179,M181)</f>
        <v>3</v>
      </c>
      <c r="N182" s="43">
        <f t="shared" si="54"/>
        <v>0</v>
      </c>
      <c r="O182" s="43">
        <f t="shared" si="54"/>
        <v>15</v>
      </c>
      <c r="P182" s="43">
        <f t="shared" si="54"/>
        <v>39</v>
      </c>
      <c r="Q182" s="43">
        <f t="shared" si="54"/>
        <v>54</v>
      </c>
      <c r="R182" s="45">
        <f>COUNTIF(R172:R173,"E")+COUNTIF(R175:R176,"E")+COUNTIF(R178:R179,"E")+COUNTIF(R181,"E")</f>
        <v>5</v>
      </c>
      <c r="S182" s="45">
        <f>COUNTIF(S172:S173,"C")+COUNTIF(S175:S176,"C")+COUNTIF(S178:S179,"C")+COUNTIF(S181,"C")</f>
        <v>1</v>
      </c>
      <c r="T182" s="45">
        <f>COUNTIF(T172:T173,"VP")+COUNTIF(T175:T176,"VP")+COUNTIF(T178:T179,"VP")+COUNTIF(T181,"VP")</f>
        <v>0</v>
      </c>
      <c r="U182" s="44"/>
    </row>
    <row r="183" spans="1:21" ht="20.25" customHeight="1">
      <c r="A183" s="231" t="s">
        <v>50</v>
      </c>
      <c r="B183" s="232"/>
      <c r="C183" s="232"/>
      <c r="D183" s="232"/>
      <c r="E183" s="232"/>
      <c r="F183" s="232"/>
      <c r="G183" s="232"/>
      <c r="H183" s="232"/>
      <c r="I183" s="232"/>
      <c r="J183" s="233"/>
      <c r="K183" s="43">
        <f>SUM(K172:K173,K175:K176,K178:K179)*14</f>
        <v>112</v>
      </c>
      <c r="L183" s="43">
        <f t="shared" ref="L183:Q183" si="56">SUM(L172:L173,L175:L176,L178:L179)*14</f>
        <v>98</v>
      </c>
      <c r="M183" s="64">
        <f t="shared" ref="M183" si="57">SUM(M172:M173,M175:M176,M178:M179)*14</f>
        <v>42</v>
      </c>
      <c r="N183" s="43">
        <f t="shared" si="56"/>
        <v>0</v>
      </c>
      <c r="O183" s="43">
        <f t="shared" si="56"/>
        <v>210</v>
      </c>
      <c r="P183" s="43">
        <f t="shared" si="56"/>
        <v>546</v>
      </c>
      <c r="Q183" s="43">
        <f t="shared" si="56"/>
        <v>756</v>
      </c>
      <c r="R183" s="237"/>
      <c r="S183" s="238"/>
      <c r="T183" s="238"/>
      <c r="U183" s="239"/>
    </row>
    <row r="184" spans="1:21" ht="20.25" customHeight="1">
      <c r="A184" s="234"/>
      <c r="B184" s="235"/>
      <c r="C184" s="235"/>
      <c r="D184" s="235"/>
      <c r="E184" s="235"/>
      <c r="F184" s="235"/>
      <c r="G184" s="235"/>
      <c r="H184" s="235"/>
      <c r="I184" s="235"/>
      <c r="J184" s="236"/>
      <c r="K184" s="243">
        <f>SUM(K183:N183)</f>
        <v>252</v>
      </c>
      <c r="L184" s="244"/>
      <c r="M184" s="244"/>
      <c r="N184" s="245"/>
      <c r="O184" s="243">
        <f>SUM(O183:P183)</f>
        <v>756</v>
      </c>
      <c r="P184" s="244"/>
      <c r="Q184" s="245"/>
      <c r="R184" s="240"/>
      <c r="S184" s="241"/>
      <c r="T184" s="241"/>
      <c r="U184" s="242"/>
    </row>
    <row r="186" spans="1:21">
      <c r="A186" s="224" t="s">
        <v>89</v>
      </c>
      <c r="B186" s="224"/>
      <c r="C186" s="224"/>
      <c r="D186" s="224"/>
      <c r="E186" s="224"/>
      <c r="F186" s="224"/>
      <c r="G186" s="224"/>
      <c r="H186" s="224"/>
      <c r="I186" s="224"/>
      <c r="J186" s="224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</row>
    <row r="187" spans="1:21">
      <c r="A187" s="224" t="s">
        <v>90</v>
      </c>
      <c r="B187" s="224"/>
      <c r="C187" s="224"/>
      <c r="D187" s="224"/>
      <c r="E187" s="224"/>
      <c r="F187" s="224"/>
      <c r="G187" s="224"/>
      <c r="H187" s="224"/>
      <c r="I187" s="224"/>
      <c r="J187" s="224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</row>
    <row r="188" spans="1:21">
      <c r="A188" s="224" t="s">
        <v>91</v>
      </c>
      <c r="B188" s="224"/>
      <c r="C188" s="224"/>
      <c r="D188" s="224"/>
      <c r="E188" s="224"/>
      <c r="F188" s="224"/>
      <c r="G188" s="224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</row>
  </sheetData>
  <sheetProtection formatCells="0" formatRows="0" insertRows="0"/>
  <mergeCells count="258">
    <mergeCell ref="B172:I172"/>
    <mergeCell ref="B178:I178"/>
    <mergeCell ref="A186:U186"/>
    <mergeCell ref="A187:U187"/>
    <mergeCell ref="A188:U188"/>
    <mergeCell ref="A174:U174"/>
    <mergeCell ref="B175:I175"/>
    <mergeCell ref="A177:U177"/>
    <mergeCell ref="B179:I179"/>
    <mergeCell ref="A180:U180"/>
    <mergeCell ref="B181:I181"/>
    <mergeCell ref="A182:I182"/>
    <mergeCell ref="A183:J184"/>
    <mergeCell ref="R183:U184"/>
    <mergeCell ref="K184:N184"/>
    <mergeCell ref="O184:Q184"/>
    <mergeCell ref="B176:I176"/>
    <mergeCell ref="A168:U168"/>
    <mergeCell ref="B173:I173"/>
    <mergeCell ref="A171:U171"/>
    <mergeCell ref="A164:G164"/>
    <mergeCell ref="H164:I164"/>
    <mergeCell ref="J164:K164"/>
    <mergeCell ref="L164:N164"/>
    <mergeCell ref="O164:P164"/>
    <mergeCell ref="Q164:R164"/>
    <mergeCell ref="B162:G162"/>
    <mergeCell ref="H162:I162"/>
    <mergeCell ref="J162:K162"/>
    <mergeCell ref="L162:N162"/>
    <mergeCell ref="O162:P162"/>
    <mergeCell ref="Q162:R162"/>
    <mergeCell ref="B163:G163"/>
    <mergeCell ref="H163:I163"/>
    <mergeCell ref="J163:K163"/>
    <mergeCell ref="L163:N163"/>
    <mergeCell ref="O163:P163"/>
    <mergeCell ref="Q163:R163"/>
    <mergeCell ref="A159:B159"/>
    <mergeCell ref="A160:A161"/>
    <mergeCell ref="B160:G161"/>
    <mergeCell ref="H160:I161"/>
    <mergeCell ref="J160:P160"/>
    <mergeCell ref="Q160:R161"/>
    <mergeCell ref="S160:U160"/>
    <mergeCell ref="J161:K161"/>
    <mergeCell ref="L161:N161"/>
    <mergeCell ref="O161:P161"/>
    <mergeCell ref="R153:U154"/>
    <mergeCell ref="K154:N154"/>
    <mergeCell ref="O154:Q154"/>
    <mergeCell ref="B148:I148"/>
    <mergeCell ref="A149:U149"/>
    <mergeCell ref="B151:I151"/>
    <mergeCell ref="A152:I152"/>
    <mergeCell ref="A153:J154"/>
    <mergeCell ref="B150:I150"/>
    <mergeCell ref="A145:U145"/>
    <mergeCell ref="B146:I146"/>
    <mergeCell ref="B147:I147"/>
    <mergeCell ref="R143:T143"/>
    <mergeCell ref="A143:A144"/>
    <mergeCell ref="B143:I144"/>
    <mergeCell ref="J143:J144"/>
    <mergeCell ref="K143:N143"/>
    <mergeCell ref="B132:I132"/>
    <mergeCell ref="B133:I133"/>
    <mergeCell ref="A135:I135"/>
    <mergeCell ref="K137:N137"/>
    <mergeCell ref="O137:Q137"/>
    <mergeCell ref="B127:I127"/>
    <mergeCell ref="B131:I131"/>
    <mergeCell ref="A129:U129"/>
    <mergeCell ref="U143:U144"/>
    <mergeCell ref="A142:U142"/>
    <mergeCell ref="A136:J137"/>
    <mergeCell ref="R136:U137"/>
    <mergeCell ref="O143:Q143"/>
    <mergeCell ref="B130:I130"/>
    <mergeCell ref="B75:I75"/>
    <mergeCell ref="B101:I102"/>
    <mergeCell ref="A101:A102"/>
    <mergeCell ref="A116:J117"/>
    <mergeCell ref="R116:U117"/>
    <mergeCell ref="O117:Q117"/>
    <mergeCell ref="K117:N117"/>
    <mergeCell ref="A115:I115"/>
    <mergeCell ref="B114:I114"/>
    <mergeCell ref="R101:T101"/>
    <mergeCell ref="B104:I104"/>
    <mergeCell ref="A103:U103"/>
    <mergeCell ref="U121:U122"/>
    <mergeCell ref="A100:U100"/>
    <mergeCell ref="A99:U99"/>
    <mergeCell ref="N18:U18"/>
    <mergeCell ref="N16:U16"/>
    <mergeCell ref="B52:I52"/>
    <mergeCell ref="B51:I51"/>
    <mergeCell ref="B41:I41"/>
    <mergeCell ref="A123:U123"/>
    <mergeCell ref="B124:I124"/>
    <mergeCell ref="B125:I125"/>
    <mergeCell ref="B128:I128"/>
    <mergeCell ref="B126:I126"/>
    <mergeCell ref="A121:A122"/>
    <mergeCell ref="J46:J47"/>
    <mergeCell ref="A46:A47"/>
    <mergeCell ref="K54:N54"/>
    <mergeCell ref="N21:U23"/>
    <mergeCell ref="I26:K26"/>
    <mergeCell ref="B26:C26"/>
    <mergeCell ref="H26:H27"/>
    <mergeCell ref="A25:G25"/>
    <mergeCell ref="G26:G27"/>
    <mergeCell ref="B50:I50"/>
    <mergeCell ref="A37:A38"/>
    <mergeCell ref="B37:I38"/>
    <mergeCell ref="A16:K16"/>
    <mergeCell ref="A2:K2"/>
    <mergeCell ref="P3:R3"/>
    <mergeCell ref="A36:U36"/>
    <mergeCell ref="N25:U31"/>
    <mergeCell ref="A20:K23"/>
    <mergeCell ref="R89:U90"/>
    <mergeCell ref="A88:I88"/>
    <mergeCell ref="A89:J90"/>
    <mergeCell ref="B73:I73"/>
    <mergeCell ref="U69:U70"/>
    <mergeCell ref="B69:I70"/>
    <mergeCell ref="B87:I87"/>
    <mergeCell ref="A84:U84"/>
    <mergeCell ref="A71:U71"/>
    <mergeCell ref="A76:U76"/>
    <mergeCell ref="B85:I85"/>
    <mergeCell ref="B79:I79"/>
    <mergeCell ref="B78:I78"/>
    <mergeCell ref="B81:I81"/>
    <mergeCell ref="A80:U80"/>
    <mergeCell ref="B77:I77"/>
    <mergeCell ref="B72:I72"/>
    <mergeCell ref="A61:U61"/>
    <mergeCell ref="A53:U53"/>
    <mergeCell ref="A1:K1"/>
    <mergeCell ref="A3:K3"/>
    <mergeCell ref="K46:N46"/>
    <mergeCell ref="N19:U19"/>
    <mergeCell ref="N1:U1"/>
    <mergeCell ref="N14:U14"/>
    <mergeCell ref="A4:K5"/>
    <mergeCell ref="A34:U34"/>
    <mergeCell ref="A19:K19"/>
    <mergeCell ref="A17:K17"/>
    <mergeCell ref="N3:O3"/>
    <mergeCell ref="N5:O5"/>
    <mergeCell ref="D26:F26"/>
    <mergeCell ref="A18:K18"/>
    <mergeCell ref="O46:Q46"/>
    <mergeCell ref="R46:T46"/>
    <mergeCell ref="S3:U3"/>
    <mergeCell ref="S4:U4"/>
    <mergeCell ref="U37:U38"/>
    <mergeCell ref="O37:Q37"/>
    <mergeCell ref="K37:N37"/>
    <mergeCell ref="U46:U47"/>
    <mergeCell ref="R37:T37"/>
    <mergeCell ref="A45:U45"/>
    <mergeCell ref="P4:R4"/>
    <mergeCell ref="N4:O4"/>
    <mergeCell ref="A10:K10"/>
    <mergeCell ref="N6:O6"/>
    <mergeCell ref="A7:K7"/>
    <mergeCell ref="A8:K8"/>
    <mergeCell ref="A9:K9"/>
    <mergeCell ref="N15:U15"/>
    <mergeCell ref="S6:U6"/>
    <mergeCell ref="N8:U11"/>
    <mergeCell ref="A15:K15"/>
    <mergeCell ref="A13:K13"/>
    <mergeCell ref="A6:K6"/>
    <mergeCell ref="P5:R5"/>
    <mergeCell ref="P6:R6"/>
    <mergeCell ref="A14:K14"/>
    <mergeCell ref="N13:U13"/>
    <mergeCell ref="A11:K11"/>
    <mergeCell ref="A12:K12"/>
    <mergeCell ref="S5:U5"/>
    <mergeCell ref="N17:U17"/>
    <mergeCell ref="J37:J38"/>
    <mergeCell ref="J101:J102"/>
    <mergeCell ref="O54:Q54"/>
    <mergeCell ref="R54:T54"/>
    <mergeCell ref="U54:U55"/>
    <mergeCell ref="B64:I64"/>
    <mergeCell ref="B65:I65"/>
    <mergeCell ref="B66:I66"/>
    <mergeCell ref="K90:N90"/>
    <mergeCell ref="O90:Q90"/>
    <mergeCell ref="U101:U102"/>
    <mergeCell ref="K101:N101"/>
    <mergeCell ref="O101:Q101"/>
    <mergeCell ref="K69:N69"/>
    <mergeCell ref="B39:I39"/>
    <mergeCell ref="B40:I40"/>
    <mergeCell ref="B44:I44"/>
    <mergeCell ref="B48:I48"/>
    <mergeCell ref="B49:I49"/>
    <mergeCell ref="B42:I42"/>
    <mergeCell ref="B43:I43"/>
    <mergeCell ref="B46:I47"/>
    <mergeCell ref="J62:J63"/>
    <mergeCell ref="K62:N62"/>
    <mergeCell ref="A54:A55"/>
    <mergeCell ref="B54:I55"/>
    <mergeCell ref="A68:U68"/>
    <mergeCell ref="O69:Q69"/>
    <mergeCell ref="A69:A70"/>
    <mergeCell ref="B67:I67"/>
    <mergeCell ref="J69:J70"/>
    <mergeCell ref="B86:I86"/>
    <mergeCell ref="R69:T69"/>
    <mergeCell ref="B56:I56"/>
    <mergeCell ref="U62:U63"/>
    <mergeCell ref="B60:I60"/>
    <mergeCell ref="B62:I63"/>
    <mergeCell ref="B59:I59"/>
    <mergeCell ref="B74:I74"/>
    <mergeCell ref="B57:I57"/>
    <mergeCell ref="J54:J55"/>
    <mergeCell ref="O62:Q62"/>
    <mergeCell ref="R62:T62"/>
    <mergeCell ref="A62:A63"/>
    <mergeCell ref="B58:I58"/>
    <mergeCell ref="B82:I82"/>
    <mergeCell ref="B83:I83"/>
    <mergeCell ref="A166:U166"/>
    <mergeCell ref="A169:A170"/>
    <mergeCell ref="B169:I170"/>
    <mergeCell ref="J169:J170"/>
    <mergeCell ref="K169:N169"/>
    <mergeCell ref="O169:Q169"/>
    <mergeCell ref="R169:T169"/>
    <mergeCell ref="U169:U170"/>
    <mergeCell ref="B105:I105"/>
    <mergeCell ref="B106:I106"/>
    <mergeCell ref="B107:I107"/>
    <mergeCell ref="B108:I108"/>
    <mergeCell ref="B110:I110"/>
    <mergeCell ref="B113:I113"/>
    <mergeCell ref="A112:U112"/>
    <mergeCell ref="B109:I109"/>
    <mergeCell ref="B111:I111"/>
    <mergeCell ref="A120:U120"/>
    <mergeCell ref="J121:J122"/>
    <mergeCell ref="K121:N121"/>
    <mergeCell ref="O121:Q121"/>
    <mergeCell ref="B121:I122"/>
    <mergeCell ref="R121:T121"/>
    <mergeCell ref="B134:I134"/>
  </mergeCells>
  <phoneticPr fontId="6" type="noConversion"/>
  <dataValidations count="24">
    <dataValidation type="list" allowBlank="1" showInputMessage="1" showErrorMessage="1" sqref="S175:S176 S85:S87 S172:S173 S178:S179 S181">
      <formula1>$S$38</formula1>
    </dataValidation>
    <dataValidation type="list" allowBlank="1" showInputMessage="1" showErrorMessage="1" sqref="R175:R176 R85:R87 R172:R173 R178:R179 R181">
      <formula1>$R$38</formula1>
    </dataValidation>
    <dataValidation type="list" allowBlank="1" showInputMessage="1" showErrorMessage="1" sqref="T175:T176 T85:T87 T172:T173 T178:T179 T181">
      <formula1>$T$38</formula1>
    </dataValidation>
    <dataValidation type="list" allowBlank="1" showInputMessage="1" showErrorMessage="1" sqref="U85:U87 U146:U147 U130:U133 U150 U113">
      <formula1>$P$35:$T$35</formula1>
    </dataValidation>
    <dataValidation type="list" allowBlank="1" showInputMessage="1" showErrorMessage="1" sqref="U111 U148">
      <formula1>$Q$35:$T$35</formula1>
    </dataValidation>
    <dataValidation type="list" allowBlank="1" showInputMessage="1" showErrorMessage="1" sqref="B150:I150 B113:I113 B133:I133">
      <formula1>$B$37:$B$98</formula1>
    </dataValidation>
    <dataValidation type="list" operator="equal" allowBlank="1" showInputMessage="1" showErrorMessage="1" sqref="T43 T50">
      <formula1>$T$45</formula1>
      <formula2>0</formula2>
    </dataValidation>
    <dataValidation type="list" operator="equal" allowBlank="1" showInputMessage="1" showErrorMessage="1" sqref="S43 S50">
      <formula1>$S$45</formula1>
      <formula2>0</formula2>
    </dataValidation>
    <dataValidation type="list" operator="equal" allowBlank="1" showInputMessage="1" showErrorMessage="1" sqref="R43 R50">
      <formula1>$R$45</formula1>
      <formula2>0</formula2>
    </dataValidation>
    <dataValidation type="list" operator="equal" allowBlank="1" showInputMessage="1" showErrorMessage="1" sqref="U39:U43 U48:U51 U56:U59 U66 U72:U75 U77:U79 U81:U83 U104:U110 U124:U127">
      <formula1>$P$36:$T$36</formula1>
      <formula2>0</formula2>
    </dataValidation>
    <dataValidation type="list" operator="equal" allowBlank="1" showErrorMessage="1" sqref="T39:T42 T56:T57 T64">
      <formula1>$T$41</formula1>
      <formula2>0</formula2>
    </dataValidation>
    <dataValidation type="list" operator="equal" allowBlank="1" showErrorMessage="1" sqref="S39:S42 S56:S57 S64:S65">
      <formula1>$S$41</formula1>
      <formula2>0</formula2>
    </dataValidation>
    <dataValidation type="list" operator="equal" allowBlank="1" showErrorMessage="1" sqref="R39:R42 R56:R57 R64:R65">
      <formula1>$R$41</formula1>
      <formula2>0</formula2>
    </dataValidation>
    <dataValidation type="list" operator="equal" allowBlank="1" showErrorMessage="1" sqref="T48:T49">
      <formula1>$T$44</formula1>
      <formula2>0</formula2>
    </dataValidation>
    <dataValidation type="list" operator="equal" allowBlank="1" showErrorMessage="1" sqref="S48:S49">
      <formula1>$S$44</formula1>
      <formula2>0</formula2>
    </dataValidation>
    <dataValidation type="list" operator="equal" allowBlank="1" showErrorMessage="1" sqref="R48:R49">
      <formula1>$R$44</formula1>
      <formula2>0</formula2>
    </dataValidation>
    <dataValidation type="list" operator="equal" allowBlank="1" showInputMessage="1" showErrorMessage="1" sqref="T51 T58:T59 T65:T66 T72:T75 T77:T79 T81:T83">
      <formula1>$T$39</formula1>
      <formula2>0</formula2>
    </dataValidation>
    <dataValidation type="list" operator="equal" allowBlank="1" showInputMessage="1" showErrorMessage="1" sqref="S51 S58:S59 S66 S72:S75 S77:S79 S81:S83">
      <formula1>$S$39</formula1>
      <formula2>0</formula2>
    </dataValidation>
    <dataValidation type="list" operator="equal" allowBlank="1" showInputMessage="1" showErrorMessage="1" sqref="R51 R58:R59 R66 R72:R75 R77:R79 R81:R83">
      <formula1>$R$39</formula1>
      <formula2>0</formula2>
    </dataValidation>
    <dataValidation type="list" operator="equal" allowBlank="1" showErrorMessage="1" sqref="U64:U65">
      <formula1>$P$38:$T$38</formula1>
      <formula2>0</formula2>
    </dataValidation>
    <dataValidation type="list" operator="equal" allowBlank="1" showInputMessage="1" showErrorMessage="1" sqref="U128">
      <formula1>$Q$36:$T$36</formula1>
      <formula2>0</formula2>
    </dataValidation>
    <dataValidation type="list" operator="equal" allowBlank="1" showInputMessage="1" showErrorMessage="1" sqref="B104:I110">
      <formula1>$B$38:$B$165</formula1>
      <formula2>0</formula2>
    </dataValidation>
    <dataValidation type="list" operator="equal" allowBlank="1" showInputMessage="1" showErrorMessage="1" sqref="B124:I127">
      <formula1>$B$38:$B$166</formula1>
      <formula2>0</formula2>
    </dataValidation>
    <dataValidation type="list" operator="equal" allowBlank="1" showInputMessage="1" showErrorMessage="1" sqref="B130:I132 B146:I147">
      <formula1>$B$38:$B$167</formula1>
      <formula2>0</formula2>
    </dataValidation>
  </dataValidations>
  <pageMargins left="0.7" right="0.7" top="0.75" bottom="0.75" header="0.3" footer="0.3"/>
  <pageSetup paperSize="9" orientation="landscape" blackAndWhite="1" r:id="rId1"/>
  <headerFooter>
    <oddHeader>&amp;C
&amp;R&amp;P</oddHeader>
    <oddFooter>&amp;LRECTOR,
Acad.Prof.univ.dr. Ioan Aurel POP&amp;CDECAN,
Prof.dr. Adrian Olimpiu PETRUȘEL&amp;RDIRECTOR DE DEPARTAMENT,
Prof.dr. Anca ANDREICA</oddFooter>
  </headerFooter>
  <ignoredErrors>
    <ignoredError sqref="R44" formula="1"/>
    <ignoredError sqref="K9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6" type="noConversion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6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2017-04-11T19:03:41Z</dcterms:created>
  <dcterms:modified xsi:type="dcterms:W3CDTF">2017-04-11T19:03:43Z</dcterms:modified>
</cp:coreProperties>
</file>